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476" windowWidth="9720" windowHeight="7320" activeTab="7"/>
  </bookViews>
  <sheets>
    <sheet name="Table 1" sheetId="1" r:id="rId1"/>
    <sheet name="Table 2" sheetId="2" r:id="rId2"/>
    <sheet name="Table 3" sheetId="3" r:id="rId3"/>
    <sheet name="Table 4" sheetId="4" r:id="rId4"/>
    <sheet name="Table 5" sheetId="5" r:id="rId5"/>
    <sheet name="Table 6" sheetId="6" r:id="rId6"/>
    <sheet name="Table 7" sheetId="7" r:id="rId7"/>
    <sheet name="Table 8" sheetId="8" r:id="rId8"/>
    <sheet name="Table T-1" sheetId="9" r:id="rId9"/>
    <sheet name="Table T-2  pg 1" sheetId="10" r:id="rId10"/>
    <sheet name="Table T-2  pg 2" sheetId="11" r:id="rId11"/>
    <sheet name="Table T-2 pg 3" sheetId="12" r:id="rId12"/>
    <sheet name="Sheet1" sheetId="13" r:id="rId13"/>
  </sheets>
  <definedNames>
    <definedName name="_xlnm.Print_Area" localSheetId="0">'Table 1'!$A$1:$H$78</definedName>
    <definedName name="_xlnm.Print_Area" localSheetId="1">'Table 2'!$A$1:$H$73</definedName>
    <definedName name="_xlnm.Print_Area" localSheetId="2">'Table 3'!$A$2:$O$68</definedName>
    <definedName name="_xlnm.Print_Area" localSheetId="3">'Table 4'!$A$1:$P$68</definedName>
    <definedName name="_xlnm.Print_Area" localSheetId="5">'Table 6'!$A$1:$J$35</definedName>
    <definedName name="_xlnm.Print_Area" localSheetId="6">'Table 7'!$A$1:$M$70</definedName>
    <definedName name="_xlnm.Print_Area" localSheetId="11">'Table T-2 pg 3'!$A$1:$H$68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<sst xmlns="http://schemas.openxmlformats.org/spreadsheetml/2006/main" count="747" uniqueCount="247">
  <si>
    <t>Table 1</t>
  </si>
  <si>
    <t>Estimated peak</t>
  </si>
  <si>
    <t>Sales</t>
  </si>
  <si>
    <t>peak load  (2)</t>
  </si>
  <si>
    <t>Customers</t>
  </si>
  <si>
    <t>(GWh)</t>
  </si>
  <si>
    <t xml:space="preserve">(MW)  </t>
  </si>
  <si>
    <t xml:space="preserve">(%)    </t>
  </si>
  <si>
    <t>Industrial over 750 kVA</t>
  </si>
  <si>
    <t xml:space="preserve">  - high voltage</t>
  </si>
  <si>
    <t xml:space="preserve">  - medium voltage</t>
  </si>
  <si>
    <t xml:space="preserve">  - low voltage</t>
  </si>
  <si>
    <t>Industrial under 750 kVA</t>
  </si>
  <si>
    <t>Nonindustrial</t>
  </si>
  <si>
    <t>Agricultural</t>
  </si>
  <si>
    <t>System use</t>
  </si>
  <si>
    <t>Totals</t>
  </si>
  <si>
    <t>Notes:</t>
  </si>
  <si>
    <t xml:space="preserve"> (1)  Estimated based on Consultant experience.  More accurate estimates</t>
  </si>
  <si>
    <t xml:space="preserve"> (2)  Noncoincident peak loads.</t>
  </si>
  <si>
    <t xml:space="preserve"> (3)  Coincident peak loads.</t>
  </si>
  <si>
    <t>Table 2</t>
  </si>
  <si>
    <t>Losses &amp; system use</t>
  </si>
  <si>
    <t>Input to HV system</t>
  </si>
  <si>
    <t>as a % of input</t>
  </si>
  <si>
    <t>Less HV losses</t>
  </si>
  <si>
    <t>Less HV sales</t>
  </si>
  <si>
    <t>Equals input to MV system</t>
  </si>
  <si>
    <t>Less MV losses</t>
  </si>
  <si>
    <t>Less MV sales</t>
  </si>
  <si>
    <t>Equals input to LV system</t>
  </si>
  <si>
    <t>Less LV losses</t>
  </si>
  <si>
    <t>Equals LV sales</t>
  </si>
  <si>
    <t>MW</t>
  </si>
  <si>
    <t>GWh</t>
  </si>
  <si>
    <t>Total</t>
  </si>
  <si>
    <t xml:space="preserve">Energy (GWh) </t>
  </si>
  <si>
    <t>Peak (MW)</t>
  </si>
  <si>
    <t>HV</t>
  </si>
  <si>
    <t>MV</t>
  </si>
  <si>
    <t>LV</t>
  </si>
  <si>
    <t>Table 3</t>
  </si>
  <si>
    <t>Derivation of energy allocation factors</t>
  </si>
  <si>
    <t xml:space="preserve">MV sales </t>
  </si>
  <si>
    <t xml:space="preserve">HV sales </t>
  </si>
  <si>
    <t>Allocation factors based on input (%)</t>
  </si>
  <si>
    <t>LV sales</t>
  </si>
  <si>
    <t>LV losses</t>
  </si>
  <si>
    <t>LV input</t>
  </si>
  <si>
    <t>&amp; LV  input</t>
  </si>
  <si>
    <t>MV losses</t>
  </si>
  <si>
    <t>MV input</t>
  </si>
  <si>
    <t>&amp; MV  input</t>
  </si>
  <si>
    <t>HV losses</t>
  </si>
  <si>
    <t>HV input</t>
  </si>
  <si>
    <t>Loss %</t>
  </si>
  <si>
    <t>Check</t>
  </si>
  <si>
    <t>Table 4</t>
  </si>
  <si>
    <t>Derivation of demand allocation factors</t>
  </si>
  <si>
    <t>Table 5</t>
  </si>
  <si>
    <t>Derivation of customer allocation factors</t>
  </si>
  <si>
    <t xml:space="preserve">All      </t>
  </si>
  <si>
    <t>LV customers</t>
  </si>
  <si>
    <t>MV customers</t>
  </si>
  <si>
    <t>customers</t>
  </si>
  <si>
    <t>Table 6</t>
  </si>
  <si>
    <t>Energy</t>
  </si>
  <si>
    <t>Demand    related</t>
  </si>
  <si>
    <t>Customer   related</t>
  </si>
  <si>
    <t>RUR 000's</t>
  </si>
  <si>
    <t>related</t>
  </si>
  <si>
    <t>Production</t>
  </si>
  <si>
    <t xml:space="preserve">  - fixed</t>
  </si>
  <si>
    <t xml:space="preserve">  - variable</t>
  </si>
  <si>
    <t>High voltage</t>
  </si>
  <si>
    <t>Medium voltage (1)</t>
  </si>
  <si>
    <t>Low voltage (1)</t>
  </si>
  <si>
    <t>General (2)</t>
  </si>
  <si>
    <t xml:space="preserve">  - customer related</t>
  </si>
  <si>
    <t xml:space="preserve">  - all other</t>
  </si>
  <si>
    <t>Profit</t>
  </si>
  <si>
    <t>check</t>
  </si>
  <si>
    <t>For low voltage,</t>
  </si>
  <si>
    <t>X</t>
  </si>
  <si>
    <t>=</t>
  </si>
  <si>
    <t>total installed cost meters/service lines.</t>
  </si>
  <si>
    <t>RUR</t>
  </si>
  <si>
    <t>RUR/year; 15%, 20 years - exceeds total LV costs above by 4X</t>
  </si>
  <si>
    <t>RUR/month</t>
  </si>
  <si>
    <t>RUR per customer per month - this seems seems reasonable,</t>
  </si>
  <si>
    <t>but LV cost above looks suspect.</t>
  </si>
  <si>
    <t>RUR total annual LV customer cost</t>
  </si>
  <si>
    <t>RUR per customer per year</t>
  </si>
  <si>
    <t>RUR per customer per month - seems very low</t>
  </si>
  <si>
    <t xml:space="preserve">This equals 260 RUR per customer-year or 22 RUR per customer-month, STILL </t>
  </si>
  <si>
    <t>above the cost of the whole LV network cost of 15.</t>
  </si>
  <si>
    <t>Average Industrial = $60.</t>
  </si>
  <si>
    <t>Railway Traction (large customers) = $150.</t>
  </si>
  <si>
    <t>Use this proportion for both MV and LV.</t>
  </si>
  <si>
    <t>Cost per total kWh sold</t>
  </si>
  <si>
    <t>% of total</t>
  </si>
  <si>
    <t>RUR/ kWh</t>
  </si>
  <si>
    <t>$/ kWh</t>
  </si>
  <si>
    <t>Proportions look OK - variable gen a little high</t>
  </si>
  <si>
    <t>Medium voltage</t>
  </si>
  <si>
    <t>Low voltage</t>
  </si>
  <si>
    <t>General</t>
  </si>
  <si>
    <t>Table 7</t>
  </si>
  <si>
    <t>Table 8</t>
  </si>
  <si>
    <t xml:space="preserve">Adjustment of    </t>
  </si>
  <si>
    <t xml:space="preserve">Revenue  </t>
  </si>
  <si>
    <t>Allocated cost</t>
  </si>
  <si>
    <t>Average tariff</t>
  </si>
  <si>
    <t>Consumption</t>
  </si>
  <si>
    <t>Calculated revenues</t>
  </si>
  <si>
    <t>revenues to costs</t>
  </si>
  <si>
    <t>to cost ratio</t>
  </si>
  <si>
    <t>(RUR 000's)</t>
  </si>
  <si>
    <t>(RUR/ kWh)</t>
  </si>
  <si>
    <t xml:space="preserve">(GWh)  </t>
  </si>
  <si>
    <t xml:space="preserve">(%)     </t>
  </si>
  <si>
    <t>Demand charge:</t>
  </si>
  <si>
    <t>Derivation of illustrative tariffs</t>
  </si>
  <si>
    <t>Marginal energy cost at transmission input</t>
  </si>
  <si>
    <t>RUR per kWh</t>
  </si>
  <si>
    <t>Marginal energy cost from low voltage system</t>
  </si>
  <si>
    <t>Energy charge:</t>
  </si>
  <si>
    <t>x</t>
  </si>
  <si>
    <t>Revenue from energy charge</t>
  </si>
  <si>
    <t>thousand RUR</t>
  </si>
  <si>
    <t>Target revenue:</t>
  </si>
  <si>
    <t>Remaining revenue to collect:</t>
  </si>
  <si>
    <t>Total customers:</t>
  </si>
  <si>
    <t>Customer charge:</t>
  </si>
  <si>
    <t>RUR per month</t>
  </si>
  <si>
    <t>In $US:</t>
  </si>
  <si>
    <t>per kWh</t>
  </si>
  <si>
    <t>per month</t>
  </si>
  <si>
    <t>Other small low voltage customers:</t>
  </si>
  <si>
    <t>If larger customers in this group are subject to a demand-energy tariff for low</t>
  </si>
  <si>
    <t>voltage customers (next page), the above customer charge would be lower.</t>
  </si>
  <si>
    <t>Larger sized low voltage customers:</t>
  </si>
  <si>
    <t>Sum of class peaks</t>
  </si>
  <si>
    <t>Sum of individual peaks</t>
  </si>
  <si>
    <t>Total customer billing demand:</t>
  </si>
  <si>
    <t>RUR per kW per month</t>
  </si>
  <si>
    <t>per kW per month</t>
  </si>
  <si>
    <t>Medium voltage customers:</t>
  </si>
  <si>
    <t>High voltage customers:</t>
  </si>
  <si>
    <t>Marginal energy cost from high voltage system</t>
  </si>
  <si>
    <t>Peak load from losses calculations (Table 2)</t>
  </si>
  <si>
    <t>LV plus</t>
  </si>
  <si>
    <t xml:space="preserve">Total cost </t>
  </si>
  <si>
    <t>allocated cost</t>
  </si>
  <si>
    <t xml:space="preserve">    Total</t>
  </si>
  <si>
    <t>Allocation factors used</t>
  </si>
  <si>
    <t>Energy HV</t>
  </si>
  <si>
    <t>Demand HV</t>
  </si>
  <si>
    <t>Demand MV</t>
  </si>
  <si>
    <t>Demand LV</t>
  </si>
  <si>
    <t>Customer HV</t>
  </si>
  <si>
    <t>Customer MV</t>
  </si>
  <si>
    <t>Customer LV</t>
  </si>
  <si>
    <t>Electrified rail transport</t>
  </si>
  <si>
    <t>Electrified urban transport</t>
  </si>
  <si>
    <t>Estimated</t>
  </si>
  <si>
    <t xml:space="preserve">category     </t>
  </si>
  <si>
    <t>load factor (1)</t>
  </si>
  <si>
    <t>category</t>
  </si>
  <si>
    <t>Regular Residential Urban</t>
  </si>
  <si>
    <t>Regular Residential Rural</t>
  </si>
  <si>
    <t>Electric Heating</t>
  </si>
  <si>
    <t>Residential Urban</t>
  </si>
  <si>
    <t>Residential Rural</t>
  </si>
  <si>
    <t>Wholesale</t>
  </si>
  <si>
    <t>(suspect that category total is OK, but not at individual voltage levels)</t>
  </si>
  <si>
    <t>Assuming 85% coincidence with category peak, class l.f. must then be 92% to 93%</t>
  </si>
  <si>
    <t>load responsibility (3)</t>
  </si>
  <si>
    <t>Rationale for high Industrial load factors:</t>
  </si>
  <si>
    <t>Purchases</t>
  </si>
  <si>
    <t xml:space="preserve"> - includes Nonindustrial and Agricultural, although certain customers in this group</t>
  </si>
  <si>
    <t xml:space="preserve">   would more properly be subject to the low voltage tariff for larger customers.</t>
  </si>
  <si>
    <t>Marginal energy cost from medium voltage system:</t>
  </si>
  <si>
    <t xml:space="preserve"> - assumed to include Industrial and Wholesale, but, depending on size, would also</t>
  </si>
  <si>
    <t xml:space="preserve"> - would include Industrial, Nonindustrial, Electrified Transport, Agricultural,</t>
  </si>
  <si>
    <t xml:space="preserve">    Residential and Wholesale.</t>
  </si>
  <si>
    <t>estimated from January 2001 tariff application</t>
  </si>
  <si>
    <t>Summary of forecast customer data</t>
  </si>
  <si>
    <t xml:space="preserve">       Average losses</t>
  </si>
  <si>
    <t xml:space="preserve">       System peak load</t>
  </si>
  <si>
    <t xml:space="preserve">       Estimate of total</t>
  </si>
  <si>
    <t xml:space="preserve">       peak load losses</t>
  </si>
  <si>
    <t xml:space="preserve">       As a %</t>
  </si>
  <si>
    <t xml:space="preserve">       Estimated peak load losses:</t>
  </si>
  <si>
    <t xml:space="preserve">       Estimated peak load sales:</t>
  </si>
  <si>
    <t xml:space="preserve">       Total</t>
  </si>
  <si>
    <t xml:space="preserve">       Distribution of peak load losses by voltage level</t>
  </si>
  <si>
    <t xml:space="preserve">       is assumed to be in proportion to energy losses as follows:</t>
  </si>
  <si>
    <t xml:space="preserve"> (1) Energy losses by voltage level have been calculated based</t>
  </si>
  <si>
    <t xml:space="preserve">      which differs slightly from the 2001 business plan.</t>
  </si>
  <si>
    <t xml:space="preserve"> (2) Because of its absence from sales data, self-use is</t>
  </si>
  <si>
    <t xml:space="preserve">       assumed to be included either in the losses or, as an</t>
  </si>
  <si>
    <t xml:space="preserve">       expense deducted from self-billed revenues.</t>
  </si>
  <si>
    <t xml:space="preserve">       Total peak load losses (below) are estimated based on a</t>
  </si>
  <si>
    <t xml:space="preserve">       generic relationship generally used by the Consultant in</t>
  </si>
  <si>
    <t xml:space="preserve">       the absence of specific data.  Better estimates may be</t>
  </si>
  <si>
    <t>Estimates of losses by voltage level</t>
  </si>
  <si>
    <t>based on January 2001 tariff application</t>
  </si>
  <si>
    <t>Energy losses in GWh (1):</t>
  </si>
  <si>
    <t>Less HV system use (2)</t>
  </si>
  <si>
    <t>Less MV system use (2)</t>
  </si>
  <si>
    <t>Less LV system use (2)</t>
  </si>
  <si>
    <t>Peak load losses in MW (3):</t>
  </si>
  <si>
    <t>Less LV sales</t>
  </si>
  <si>
    <t>Equals LV losses</t>
  </si>
  <si>
    <t>Summary of forecast 2001 costs (from January 2001 tariff apllication)</t>
  </si>
  <si>
    <t>and allocation to cost components</t>
  </si>
  <si>
    <t xml:space="preserve">  - fixed (1)</t>
  </si>
  <si>
    <t>High voltage (1)</t>
  </si>
  <si>
    <t xml:space="preserve">  - customer related (3)</t>
  </si>
  <si>
    <t xml:space="preserve">  (1)  Assume direct costs, that is, without profit and indirect expenses allocated, are 50%</t>
  </si>
  <si>
    <t xml:space="preserve">  (2) Assume general costs is the difference between total cost and all other costs.</t>
  </si>
  <si>
    <t xml:space="preserve">  (3)  Assume customer-related costs are one-third of general costs.</t>
  </si>
  <si>
    <t>Calculation of revenues from 2001 business plan</t>
  </si>
  <si>
    <t>Possible Residential  (low voltage) tariff:</t>
  </si>
  <si>
    <t>If the customer charge is judged to be too large, then an "inverted block" energy</t>
  </si>
  <si>
    <t>charge structure may be tried, where the second block is set at a higher rate.</t>
  </si>
  <si>
    <t xml:space="preserve">   include some Nonindustrial and Agricultural</t>
  </si>
  <si>
    <t xml:space="preserve">revenues </t>
  </si>
  <si>
    <t>from tariffs</t>
  </si>
  <si>
    <t>Allocation of 2001 forecast cost components to customer classes</t>
  </si>
  <si>
    <t>Forecast revenue/ cost comparison for 2001</t>
  </si>
  <si>
    <t>based on January 2001 tariff application and 2001 business plan</t>
  </si>
  <si>
    <t>Sum of individual peaks suggests 78.8% average load factor</t>
  </si>
  <si>
    <t xml:space="preserve">      on the Jan 2001 tariff application, the result of</t>
  </si>
  <si>
    <t xml:space="preserve"> (3) System peak load of 3.214 MW is taken from </t>
  </si>
  <si>
    <t xml:space="preserve">       the 2001 business plan.</t>
  </si>
  <si>
    <t xml:space="preserve">        of the total allocated cost as per the tariff application.</t>
  </si>
  <si>
    <t>installation cost (estimate)</t>
  </si>
  <si>
    <t>India LV customer costs from the service line to meter (1996) were $10/ customer-year.</t>
  </si>
  <si>
    <t>From ABCo cos study, services and meters made up approx 30% of total distribution costs.</t>
  </si>
  <si>
    <t>Table T-1</t>
  </si>
  <si>
    <t>Table T-2 - Page 1</t>
  </si>
  <si>
    <t>Table T-2 - Page 2</t>
  </si>
  <si>
    <t>Table T-2 - Page 3</t>
  </si>
  <si>
    <t xml:space="preserve">        may be made by Electrico.</t>
  </si>
  <si>
    <t xml:space="preserve">       developed by Electrico.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</si>
</sst>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0000"/>
    <numFmt numFmtId="174" formatCode="0.0%"/>
    <numFmt numFmtId="175" formatCode="0.000%"/>
    <numFmt numFmtId="176" formatCode="0.0000"/>
    <numFmt numFmtId="177" formatCode="&quot;$&quot;#,##0"/>
    <numFmt numFmtId="178" formatCode="0.000"/>
    <numFmt numFmtId="179" formatCode="0.0"/>
    <numFmt numFmtId="180" formatCode="&quot;$&quot;#,##0.00"/>
    <numFmt numFmtId="181" formatCode="&quot;$&quot;#,##0.00000"/>
    <numFmt numFmtId="182" formatCode="#,##0.0000"/>
  </numFmts>
  <fonts count="41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u val="single"/>
      <sz val="12"/>
      <name val="Arial"/>
      <family val="0"/>
    </font>
    <font>
      <b/>
      <u val="single"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72" fontId="0" fillId="0" borderId="0">
      <alignment/>
      <protection/>
    </xf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7">
    <xf numFmtId="172" fontId="0" fillId="0" borderId="0" xfId="0" applyAlignment="1">
      <alignment/>
    </xf>
    <xf numFmtId="3" fontId="0" fillId="0" borderId="0" xfId="0" applyNumberFormat="1" applyAlignment="1">
      <alignment/>
    </xf>
    <xf numFmtId="172" fontId="4" fillId="0" borderId="0" xfId="0" applyNumberFormat="1" applyFont="1" applyAlignment="1">
      <alignment/>
    </xf>
    <xf numFmtId="172" fontId="0" fillId="0" borderId="0" xfId="0" applyNumberFormat="1" applyFont="1" applyAlignment="1">
      <alignment horizontal="right"/>
    </xf>
    <xf numFmtId="172" fontId="0" fillId="0" borderId="0" xfId="0" applyNumberFormat="1" applyFont="1" applyAlignment="1">
      <alignment horizontal="centerContinuous"/>
    </xf>
    <xf numFmtId="172" fontId="5" fillId="0" borderId="0" xfId="0" applyNumberFormat="1" applyFont="1" applyAlignment="1">
      <alignment horizontal="right"/>
    </xf>
    <xf numFmtId="172" fontId="5" fillId="0" borderId="0" xfId="0" applyNumberFormat="1" applyFont="1" applyAlignment="1">
      <alignment horizontal="centerContinuous"/>
    </xf>
    <xf numFmtId="3" fontId="5" fillId="0" borderId="0" xfId="0" applyNumberFormat="1" applyFont="1" applyAlignment="1">
      <alignment horizontal="right"/>
    </xf>
    <xf numFmtId="9" fontId="0" fillId="0" borderId="0" xfId="0" applyNumberFormat="1" applyAlignment="1">
      <alignment/>
    </xf>
    <xf numFmtId="2" fontId="0" fillId="0" borderId="0" xfId="0" applyNumberFormat="1" applyAlignment="1">
      <alignment/>
    </xf>
    <xf numFmtId="173" fontId="0" fillId="0" borderId="0" xfId="0" applyNumberFormat="1" applyAlignment="1">
      <alignment/>
    </xf>
    <xf numFmtId="172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172" fontId="6" fillId="0" borderId="0" xfId="0" applyNumberFormat="1" applyFont="1" applyAlignment="1">
      <alignment horizontal="right"/>
    </xf>
    <xf numFmtId="172" fontId="5" fillId="0" borderId="0" xfId="0" applyNumberFormat="1" applyFont="1" applyAlignment="1">
      <alignment/>
    </xf>
    <xf numFmtId="172" fontId="0" fillId="0" borderId="0" xfId="0" applyNumberFormat="1" applyFont="1" applyAlignment="1">
      <alignment horizontal="center"/>
    </xf>
    <xf numFmtId="172" fontId="5" fillId="0" borderId="0" xfId="0" applyNumberFormat="1" applyFont="1" applyAlignment="1">
      <alignment horizontal="center"/>
    </xf>
    <xf numFmtId="175" fontId="0" fillId="0" borderId="0" xfId="0" applyNumberFormat="1" applyAlignment="1">
      <alignment/>
    </xf>
    <xf numFmtId="174" fontId="0" fillId="0" borderId="0" xfId="0" applyNumberFormat="1" applyAlignment="1">
      <alignment/>
    </xf>
    <xf numFmtId="172" fontId="0" fillId="0" borderId="0" xfId="0" applyNumberFormat="1" applyFont="1" applyAlignment="1">
      <alignment horizontal="left"/>
    </xf>
    <xf numFmtId="4" fontId="0" fillId="0" borderId="0" xfId="0" applyNumberFormat="1" applyAlignment="1">
      <alignment/>
    </xf>
    <xf numFmtId="3" fontId="0" fillId="0" borderId="0" xfId="51" applyAlignment="1">
      <alignment/>
      <protection/>
    </xf>
    <xf numFmtId="3" fontId="4" fillId="0" borderId="0" xfId="51" applyNumberFormat="1" applyFont="1" applyAlignment="1">
      <alignment/>
      <protection/>
    </xf>
    <xf numFmtId="3" fontId="0" fillId="0" borderId="0" xfId="51" applyNumberFormat="1" applyFont="1" applyAlignment="1">
      <alignment horizontal="right"/>
      <protection/>
    </xf>
    <xf numFmtId="3" fontId="5" fillId="0" borderId="0" xfId="51" applyNumberFormat="1" applyFont="1" applyAlignment="1">
      <alignment horizontal="centerContinuous"/>
      <protection/>
    </xf>
    <xf numFmtId="3" fontId="5" fillId="0" borderId="0" xfId="51" applyNumberFormat="1" applyFont="1" applyAlignment="1">
      <alignment horizontal="right"/>
      <protection/>
    </xf>
    <xf numFmtId="3" fontId="5" fillId="0" borderId="0" xfId="51" applyNumberFormat="1" applyFont="1" applyAlignment="1">
      <alignment horizontal="center"/>
      <protection/>
    </xf>
    <xf numFmtId="2" fontId="0" fillId="0" borderId="0" xfId="51" applyNumberFormat="1">
      <alignment/>
      <protection/>
    </xf>
    <xf numFmtId="4" fontId="0" fillId="0" borderId="0" xfId="51" applyNumberFormat="1">
      <alignment/>
      <protection/>
    </xf>
    <xf numFmtId="3" fontId="0" fillId="0" borderId="0" xfId="51" applyNumberFormat="1" applyFont="1" applyAlignment="1">
      <alignment/>
      <protection/>
    </xf>
    <xf numFmtId="3" fontId="0" fillId="0" borderId="0" xfId="55" applyAlignment="1">
      <alignment/>
      <protection/>
    </xf>
    <xf numFmtId="3" fontId="4" fillId="0" borderId="0" xfId="55" applyNumberFormat="1" applyFont="1" applyAlignment="1">
      <alignment/>
      <protection/>
    </xf>
    <xf numFmtId="3" fontId="0" fillId="0" borderId="0" xfId="55" applyNumberFormat="1" applyFont="1" applyAlignment="1">
      <alignment horizontal="right"/>
      <protection/>
    </xf>
    <xf numFmtId="3" fontId="5" fillId="0" borderId="0" xfId="55" applyNumberFormat="1" applyFont="1" applyAlignment="1">
      <alignment horizontal="centerContinuous"/>
      <protection/>
    </xf>
    <xf numFmtId="3" fontId="0" fillId="0" borderId="0" xfId="55" applyNumberFormat="1" applyAlignment="1">
      <alignment horizontal="centerContinuous"/>
      <protection/>
    </xf>
    <xf numFmtId="3" fontId="5" fillId="0" borderId="0" xfId="55" applyNumberFormat="1" applyFont="1" applyAlignment="1">
      <alignment horizontal="right"/>
      <protection/>
    </xf>
    <xf numFmtId="3" fontId="0" fillId="0" borderId="0" xfId="55" applyNumberFormat="1" applyFont="1" applyAlignment="1">
      <alignment/>
      <protection/>
    </xf>
    <xf numFmtId="177" fontId="0" fillId="0" borderId="0" xfId="55" applyNumberFormat="1">
      <alignment/>
      <protection/>
    </xf>
    <xf numFmtId="176" fontId="0" fillId="0" borderId="0" xfId="55" applyNumberFormat="1">
      <alignment/>
      <protection/>
    </xf>
    <xf numFmtId="173" fontId="0" fillId="0" borderId="0" xfId="55" applyNumberFormat="1">
      <alignment/>
      <protection/>
    </xf>
    <xf numFmtId="174" fontId="0" fillId="0" borderId="0" xfId="55" applyNumberFormat="1">
      <alignment/>
      <protection/>
    </xf>
    <xf numFmtId="174" fontId="0" fillId="0" borderId="0" xfId="55" applyNumberFormat="1" applyFont="1" applyAlignment="1">
      <alignment/>
      <protection/>
    </xf>
    <xf numFmtId="3" fontId="0" fillId="0" borderId="0" xfId="56" applyAlignment="1">
      <alignment/>
      <protection/>
    </xf>
    <xf numFmtId="3" fontId="4" fillId="0" borderId="0" xfId="56" applyNumberFormat="1" applyFont="1" applyAlignment="1">
      <alignment/>
      <protection/>
    </xf>
    <xf numFmtId="3" fontId="0" fillId="0" borderId="0" xfId="56" applyNumberFormat="1" applyFont="1" applyAlignment="1">
      <alignment horizontal="right"/>
      <protection/>
    </xf>
    <xf numFmtId="3" fontId="5" fillId="0" borderId="0" xfId="56" applyNumberFormat="1" applyFont="1" applyAlignment="1">
      <alignment horizontal="right"/>
      <protection/>
    </xf>
    <xf numFmtId="3" fontId="0" fillId="0" borderId="0" xfId="57" applyAlignment="1">
      <alignment/>
      <protection/>
    </xf>
    <xf numFmtId="2" fontId="0" fillId="0" borderId="0" xfId="57" applyNumberFormat="1">
      <alignment/>
      <protection/>
    </xf>
    <xf numFmtId="3" fontId="4" fillId="0" borderId="0" xfId="57" applyNumberFormat="1" applyFont="1" applyAlignment="1">
      <alignment/>
      <protection/>
    </xf>
    <xf numFmtId="3" fontId="0" fillId="0" borderId="0" xfId="57" applyNumberFormat="1" applyFont="1" applyAlignment="1">
      <alignment horizontal="centerContinuous"/>
      <protection/>
    </xf>
    <xf numFmtId="3" fontId="0" fillId="0" borderId="0" xfId="57" applyNumberFormat="1" applyFont="1" applyAlignment="1">
      <alignment horizontal="right"/>
      <protection/>
    </xf>
    <xf numFmtId="3" fontId="5" fillId="0" borderId="0" xfId="57" applyNumberFormat="1" applyFont="1" applyAlignment="1">
      <alignment horizontal="right"/>
      <protection/>
    </xf>
    <xf numFmtId="3" fontId="5" fillId="0" borderId="10" xfId="57" applyNumberFormat="1" applyFont="1" applyBorder="1" applyAlignment="1">
      <alignment horizontal="right"/>
      <protection/>
    </xf>
    <xf numFmtId="176" fontId="0" fillId="0" borderId="0" xfId="57" applyNumberFormat="1">
      <alignment/>
      <protection/>
    </xf>
    <xf numFmtId="3" fontId="0" fillId="0" borderId="0" xfId="57" applyNumberFormat="1">
      <alignment/>
      <protection/>
    </xf>
    <xf numFmtId="172" fontId="0" fillId="0" borderId="0" xfId="57" applyNumberFormat="1">
      <alignment/>
      <protection/>
    </xf>
    <xf numFmtId="174" fontId="0" fillId="0" borderId="0" xfId="57" applyNumberFormat="1">
      <alignment/>
      <protection/>
    </xf>
    <xf numFmtId="3" fontId="0" fillId="0" borderId="0" xfId="52" applyAlignment="1">
      <alignment/>
      <protection/>
    </xf>
    <xf numFmtId="3" fontId="4" fillId="0" borderId="0" xfId="52" applyNumberFormat="1" applyFont="1" applyAlignment="1">
      <alignment/>
      <protection/>
    </xf>
    <xf numFmtId="173" fontId="0" fillId="0" borderId="0" xfId="52" applyNumberFormat="1">
      <alignment/>
      <protection/>
    </xf>
    <xf numFmtId="3" fontId="6" fillId="0" borderId="0" xfId="52" applyNumberFormat="1" applyFont="1" applyAlignment="1">
      <alignment/>
      <protection/>
    </xf>
    <xf numFmtId="3" fontId="0" fillId="0" borderId="0" xfId="52" applyNumberFormat="1" applyFont="1" applyAlignment="1">
      <alignment horizontal="right"/>
      <protection/>
    </xf>
    <xf numFmtId="3" fontId="0" fillId="0" borderId="0" xfId="52" applyNumberFormat="1" applyFont="1" applyAlignment="1">
      <alignment/>
      <protection/>
    </xf>
    <xf numFmtId="178" fontId="0" fillId="0" borderId="0" xfId="52" applyNumberFormat="1">
      <alignment/>
      <protection/>
    </xf>
    <xf numFmtId="178" fontId="0" fillId="0" borderId="0" xfId="52" applyNumberFormat="1" applyFont="1" applyAlignment="1">
      <alignment/>
      <protection/>
    </xf>
    <xf numFmtId="3" fontId="4" fillId="0" borderId="0" xfId="52" applyFont="1" applyAlignment="1">
      <alignment/>
      <protection/>
    </xf>
    <xf numFmtId="178" fontId="4" fillId="0" borderId="0" xfId="52" applyNumberFormat="1" applyFont="1" applyAlignment="1">
      <alignment/>
      <protection/>
    </xf>
    <xf numFmtId="172" fontId="0" fillId="0" borderId="0" xfId="52" applyNumberFormat="1">
      <alignment/>
      <protection/>
    </xf>
    <xf numFmtId="179" fontId="4" fillId="0" borderId="0" xfId="52" applyNumberFormat="1" applyFont="1" applyAlignment="1">
      <alignment/>
      <protection/>
    </xf>
    <xf numFmtId="3" fontId="5" fillId="0" borderId="0" xfId="52" applyNumberFormat="1" applyFont="1" applyAlignment="1">
      <alignment/>
      <protection/>
    </xf>
    <xf numFmtId="181" fontId="0" fillId="0" borderId="0" xfId="52" applyNumberFormat="1">
      <alignment/>
      <protection/>
    </xf>
    <xf numFmtId="180" fontId="0" fillId="0" borderId="0" xfId="52" applyNumberFormat="1">
      <alignment/>
      <protection/>
    </xf>
    <xf numFmtId="3" fontId="0" fillId="0" borderId="0" xfId="53" applyAlignment="1">
      <alignment/>
      <protection/>
    </xf>
    <xf numFmtId="3" fontId="4" fillId="0" borderId="0" xfId="53" applyNumberFormat="1" applyFont="1" applyAlignment="1">
      <alignment/>
      <protection/>
    </xf>
    <xf numFmtId="3" fontId="6" fillId="0" borderId="0" xfId="53" applyNumberFormat="1" applyFont="1" applyAlignment="1">
      <alignment/>
      <protection/>
    </xf>
    <xf numFmtId="3" fontId="0" fillId="0" borderId="0" xfId="53" applyNumberFormat="1" applyFont="1" applyAlignment="1">
      <alignment/>
      <protection/>
    </xf>
    <xf numFmtId="178" fontId="0" fillId="0" borderId="0" xfId="53" applyNumberFormat="1">
      <alignment/>
      <protection/>
    </xf>
    <xf numFmtId="3" fontId="4" fillId="0" borderId="0" xfId="53" applyFont="1" applyAlignment="1">
      <alignment/>
      <protection/>
    </xf>
    <xf numFmtId="178" fontId="4" fillId="0" borderId="0" xfId="53" applyNumberFormat="1" applyFont="1" applyAlignment="1">
      <alignment/>
      <protection/>
    </xf>
    <xf numFmtId="172" fontId="0" fillId="0" borderId="0" xfId="53" applyNumberFormat="1">
      <alignment/>
      <protection/>
    </xf>
    <xf numFmtId="179" fontId="0" fillId="0" borderId="0" xfId="53" applyNumberFormat="1">
      <alignment/>
      <protection/>
    </xf>
    <xf numFmtId="179" fontId="4" fillId="0" borderId="0" xfId="53" applyNumberFormat="1" applyFont="1" applyAlignment="1">
      <alignment/>
      <protection/>
    </xf>
    <xf numFmtId="3" fontId="5" fillId="0" borderId="0" xfId="53" applyNumberFormat="1" applyFont="1" applyAlignment="1">
      <alignment/>
      <protection/>
    </xf>
    <xf numFmtId="181" fontId="0" fillId="0" borderId="0" xfId="53" applyNumberFormat="1">
      <alignment/>
      <protection/>
    </xf>
    <xf numFmtId="180" fontId="0" fillId="0" borderId="0" xfId="53" applyNumberFormat="1">
      <alignment/>
      <protection/>
    </xf>
    <xf numFmtId="178" fontId="0" fillId="0" borderId="0" xfId="53" applyNumberFormat="1" applyFont="1" applyAlignment="1">
      <alignment/>
      <protection/>
    </xf>
    <xf numFmtId="3" fontId="0" fillId="0" borderId="0" xfId="54" applyNumberFormat="1">
      <alignment/>
      <protection/>
    </xf>
    <xf numFmtId="3" fontId="0" fillId="0" borderId="0" xfId="54">
      <alignment/>
      <protection/>
    </xf>
    <xf numFmtId="3" fontId="0" fillId="0" borderId="0" xfId="54" applyAlignment="1">
      <alignment/>
      <protection/>
    </xf>
    <xf numFmtId="3" fontId="4" fillId="0" borderId="0" xfId="54" applyNumberFormat="1" applyFont="1" applyAlignment="1">
      <alignment/>
      <protection/>
    </xf>
    <xf numFmtId="3" fontId="6" fillId="0" borderId="0" xfId="54" applyNumberFormat="1" applyFont="1" applyAlignment="1">
      <alignment/>
      <protection/>
    </xf>
    <xf numFmtId="3" fontId="0" fillId="0" borderId="0" xfId="54" applyNumberFormat="1" applyFont="1" applyAlignment="1">
      <alignment/>
      <protection/>
    </xf>
    <xf numFmtId="178" fontId="0" fillId="0" borderId="0" xfId="54" applyNumberFormat="1">
      <alignment/>
      <protection/>
    </xf>
    <xf numFmtId="178" fontId="0" fillId="0" borderId="0" xfId="54" applyNumberFormat="1" applyFont="1" applyAlignment="1">
      <alignment/>
      <protection/>
    </xf>
    <xf numFmtId="3" fontId="4" fillId="0" borderId="0" xfId="54" applyFont="1" applyAlignment="1">
      <alignment/>
      <protection/>
    </xf>
    <xf numFmtId="178" fontId="4" fillId="0" borderId="0" xfId="54" applyNumberFormat="1" applyFont="1" applyAlignment="1">
      <alignment/>
      <protection/>
    </xf>
    <xf numFmtId="172" fontId="0" fillId="0" borderId="0" xfId="54" applyNumberFormat="1">
      <alignment/>
      <protection/>
    </xf>
    <xf numFmtId="179" fontId="0" fillId="0" borderId="0" xfId="54" applyNumberFormat="1">
      <alignment/>
      <protection/>
    </xf>
    <xf numFmtId="179" fontId="4" fillId="0" borderId="0" xfId="54" applyNumberFormat="1" applyFont="1" applyAlignment="1">
      <alignment/>
      <protection/>
    </xf>
    <xf numFmtId="3" fontId="5" fillId="0" borderId="0" xfId="54" applyNumberFormat="1" applyFont="1" applyAlignment="1">
      <alignment/>
      <protection/>
    </xf>
    <xf numFmtId="181" fontId="0" fillId="0" borderId="0" xfId="54" applyNumberFormat="1">
      <alignment/>
      <protection/>
    </xf>
    <xf numFmtId="180" fontId="0" fillId="0" borderId="0" xfId="54" applyNumberFormat="1">
      <alignment/>
      <protection/>
    </xf>
    <xf numFmtId="178" fontId="5" fillId="0" borderId="0" xfId="54" applyNumberFormat="1" applyFont="1" applyAlignment="1">
      <alignment horizontal="right"/>
      <protection/>
    </xf>
    <xf numFmtId="3" fontId="5" fillId="0" borderId="0" xfId="54" applyNumberFormat="1" applyFont="1" applyAlignment="1">
      <alignment horizontal="center"/>
      <protection/>
    </xf>
    <xf numFmtId="3" fontId="5" fillId="0" borderId="0" xfId="54" applyNumberFormat="1" applyFont="1" applyAlignment="1">
      <alignment horizontal="right"/>
      <protection/>
    </xf>
    <xf numFmtId="174" fontId="0" fillId="0" borderId="0" xfId="54" applyNumberFormat="1">
      <alignment/>
      <protection/>
    </xf>
    <xf numFmtId="172" fontId="0" fillId="0" borderId="0" xfId="54" applyNumberFormat="1" applyFont="1" applyAlignment="1">
      <alignment/>
      <protection/>
    </xf>
    <xf numFmtId="172" fontId="0" fillId="0" borderId="0" xfId="0" applyNumberFormat="1" applyAlignment="1">
      <alignment/>
    </xf>
    <xf numFmtId="172" fontId="4" fillId="0" borderId="0" xfId="0" applyFont="1" applyAlignment="1">
      <alignment/>
    </xf>
    <xf numFmtId="172" fontId="0" fillId="0" borderId="11" xfId="0" applyBorder="1" applyAlignment="1">
      <alignment/>
    </xf>
    <xf numFmtId="172" fontId="0" fillId="0" borderId="11" xfId="0" applyNumberFormat="1" applyFont="1" applyBorder="1" applyAlignment="1">
      <alignment horizontal="center"/>
    </xf>
    <xf numFmtId="9" fontId="0" fillId="0" borderId="0" xfId="0" applyNumberFormat="1" applyAlignment="1">
      <alignment horizontal="center"/>
    </xf>
    <xf numFmtId="9" fontId="5" fillId="0" borderId="0" xfId="0" applyNumberFormat="1" applyFont="1" applyAlignment="1">
      <alignment horizontal="center"/>
    </xf>
    <xf numFmtId="3" fontId="0" fillId="0" borderId="0" xfId="51" applyNumberFormat="1" applyFont="1" applyAlignment="1">
      <alignment horizontal="center"/>
      <protection/>
    </xf>
    <xf numFmtId="3" fontId="0" fillId="0" borderId="11" xfId="56" applyNumberFormat="1" applyBorder="1" applyAlignment="1">
      <alignment horizontal="centerContinuous"/>
      <protection/>
    </xf>
    <xf numFmtId="3" fontId="0" fillId="0" borderId="0" xfId="56" applyNumberFormat="1" applyBorder="1" applyAlignment="1">
      <alignment horizontal="centerContinuous"/>
      <protection/>
    </xf>
    <xf numFmtId="3" fontId="0" fillId="0" borderId="11" xfId="56" applyNumberFormat="1" applyFont="1" applyBorder="1" applyAlignment="1">
      <alignment horizontal="center"/>
      <protection/>
    </xf>
    <xf numFmtId="3" fontId="0" fillId="0" borderId="11" xfId="56" applyNumberFormat="1" applyBorder="1" applyAlignment="1">
      <alignment horizontal="center"/>
      <protection/>
    </xf>
    <xf numFmtId="3" fontId="0" fillId="0" borderId="11" xfId="56" applyBorder="1" applyAlignment="1">
      <alignment/>
      <protection/>
    </xf>
    <xf numFmtId="3" fontId="5" fillId="0" borderId="11" xfId="56" applyNumberFormat="1" applyFont="1" applyBorder="1" applyAlignment="1">
      <alignment horizontal="centerContinuous"/>
      <protection/>
    </xf>
    <xf numFmtId="3" fontId="0" fillId="0" borderId="0" xfId="56" applyFont="1" applyAlignment="1">
      <alignment/>
      <protection/>
    </xf>
    <xf numFmtId="3" fontId="0" fillId="0" borderId="0" xfId="55" applyFont="1" applyAlignment="1">
      <alignment horizontal="right"/>
      <protection/>
    </xf>
    <xf numFmtId="3" fontId="0" fillId="0" borderId="0" xfId="56" applyFont="1" applyAlignment="1">
      <alignment horizontal="right"/>
      <protection/>
    </xf>
    <xf numFmtId="3" fontId="5" fillId="0" borderId="0" xfId="56" applyFont="1" applyAlignment="1">
      <alignment horizontal="right"/>
      <protection/>
    </xf>
    <xf numFmtId="3" fontId="0" fillId="0" borderId="0" xfId="56" applyFont="1" applyAlignment="1">
      <alignment horizontal="center"/>
      <protection/>
    </xf>
    <xf numFmtId="3" fontId="0" fillId="0" borderId="0" xfId="56" applyAlignment="1">
      <alignment horizontal="right"/>
      <protection/>
    </xf>
    <xf numFmtId="0" fontId="0" fillId="0" borderId="0" xfId="57" applyNumberFormat="1" applyAlignment="1">
      <alignment/>
      <protection/>
    </xf>
    <xf numFmtId="172" fontId="0" fillId="0" borderId="0" xfId="0" applyNumberFormat="1" applyAlignment="1">
      <alignment horizontal="right"/>
    </xf>
    <xf numFmtId="172" fontId="0" fillId="0" borderId="0" xfId="0" applyAlignment="1">
      <alignment horizontal="center"/>
    </xf>
    <xf numFmtId="172" fontId="5" fillId="0" borderId="0" xfId="0" applyFont="1" applyAlignment="1">
      <alignment/>
    </xf>
    <xf numFmtId="172" fontId="0" fillId="0" borderId="0" xfId="0" applyNumberFormat="1" applyAlignment="1">
      <alignment horizontal="left"/>
    </xf>
    <xf numFmtId="4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0" fillId="0" borderId="0" xfId="55" applyFont="1" applyAlignment="1">
      <alignment/>
      <protection/>
    </xf>
    <xf numFmtId="182" fontId="0" fillId="0" borderId="0" xfId="55" applyNumberFormat="1" applyAlignment="1">
      <alignment/>
      <protection/>
    </xf>
    <xf numFmtId="172" fontId="0" fillId="0" borderId="0" xfId="0" applyFont="1" applyAlignment="1" quotePrefix="1">
      <alignment horizontal="right"/>
    </xf>
    <xf numFmtId="172" fontId="6" fillId="0" borderId="0" xfId="0" applyFont="1" applyAlignment="1">
      <alignment horizontal="right"/>
    </xf>
    <xf numFmtId="176" fontId="0" fillId="0" borderId="0" xfId="57" applyNumberFormat="1" applyFont="1" applyAlignment="1">
      <alignment horizontal="centerContinuous"/>
      <protection/>
    </xf>
    <xf numFmtId="176" fontId="5" fillId="0" borderId="10" xfId="57" applyNumberFormat="1" applyFont="1" applyBorder="1" applyAlignment="1">
      <alignment horizontal="right"/>
      <protection/>
    </xf>
    <xf numFmtId="176" fontId="0" fillId="0" borderId="0" xfId="57" applyNumberFormat="1" applyFont="1" applyAlignment="1">
      <alignment horizontal="right"/>
      <protection/>
    </xf>
    <xf numFmtId="3" fontId="0" fillId="0" borderId="0" xfId="52" applyFont="1" applyAlignment="1">
      <alignment/>
      <protection/>
    </xf>
    <xf numFmtId="3" fontId="0" fillId="0" borderId="0" xfId="57" applyBorder="1" applyAlignment="1">
      <alignment/>
      <protection/>
    </xf>
    <xf numFmtId="3" fontId="0" fillId="0" borderId="0" xfId="57" applyFont="1" applyBorder="1" applyAlignment="1">
      <alignment horizontal="right"/>
      <protection/>
    </xf>
    <xf numFmtId="3" fontId="0" fillId="0" borderId="0" xfId="57" applyNumberFormat="1" applyFont="1" applyBorder="1" applyAlignment="1">
      <alignment horizontal="right"/>
      <protection/>
    </xf>
    <xf numFmtId="3" fontId="5" fillId="0" borderId="0" xfId="57" applyNumberFormat="1" applyFont="1" applyBorder="1" applyAlignment="1">
      <alignment horizontal="right"/>
      <protection/>
    </xf>
    <xf numFmtId="172" fontId="0" fillId="0" borderId="0" xfId="0" applyBorder="1" applyAlignment="1">
      <alignment/>
    </xf>
    <xf numFmtId="3" fontId="0" fillId="0" borderId="0" xfId="57" applyNumberFormat="1" applyBorder="1">
      <alignment/>
      <protection/>
    </xf>
    <xf numFmtId="174" fontId="0" fillId="0" borderId="0" xfId="57" applyNumberFormat="1" applyBorder="1">
      <alignment/>
      <protection/>
    </xf>
    <xf numFmtId="172" fontId="0" fillId="0" borderId="0" xfId="0" applyNumberFormat="1" applyFont="1" applyBorder="1" applyAlignment="1">
      <alignment/>
    </xf>
    <xf numFmtId="172" fontId="0" fillId="0" borderId="0" xfId="0" applyNumberFormat="1" applyBorder="1" applyAlignment="1">
      <alignment/>
    </xf>
    <xf numFmtId="3" fontId="4" fillId="0" borderId="0" xfId="57" applyNumberFormat="1" applyFont="1" applyBorder="1" applyAlignment="1">
      <alignment/>
      <protection/>
    </xf>
    <xf numFmtId="172" fontId="4" fillId="0" borderId="0" xfId="0" applyFont="1" applyBorder="1" applyAlignment="1">
      <alignment/>
    </xf>
    <xf numFmtId="173" fontId="0" fillId="0" borderId="0" xfId="0" applyNumberFormat="1" applyBorder="1" applyAlignment="1">
      <alignment/>
    </xf>
    <xf numFmtId="172" fontId="0" fillId="0" borderId="0" xfId="0" applyFont="1" applyAlignment="1">
      <alignment/>
    </xf>
    <xf numFmtId="172" fontId="0" fillId="0" borderId="0" xfId="0" applyNumberFormat="1" applyFont="1" applyAlignment="1">
      <alignment/>
    </xf>
    <xf numFmtId="3" fontId="0" fillId="0" borderId="0" xfId="55" applyFont="1" applyAlignment="1">
      <alignment/>
      <protection/>
    </xf>
    <xf numFmtId="3" fontId="0" fillId="0" borderId="0" xfId="55" applyNumberFormat="1" applyFont="1" applyAlignment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_Table 5" xfId="51"/>
    <cellStyle name="Normal_Table 5.3  pg 1" xfId="52"/>
    <cellStyle name="Normal_Table 5.3  pg 2" xfId="53"/>
    <cellStyle name="Normal_Table 5.3 pg 3" xfId="54"/>
    <cellStyle name="Normal_Table 6" xfId="55"/>
    <cellStyle name="Normal_Table 7" xfId="56"/>
    <cellStyle name="Normal_Table 8" xfId="57"/>
    <cellStyle name="Note" xfId="58"/>
    <cellStyle name="Outpu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4"/>
  <sheetViews>
    <sheetView showOutlineSymbols="0" zoomScale="87" zoomScaleNormal="87" zoomScalePageLayoutView="0" workbookViewId="0" topLeftCell="A46">
      <selection activeCell="I18" sqref="I18"/>
    </sheetView>
  </sheetViews>
  <sheetFormatPr defaultColWidth="11.6640625" defaultRowHeight="15"/>
  <cols>
    <col min="1" max="1" width="1.66796875" style="0" customWidth="1"/>
    <col min="2" max="2" width="22.21484375" style="0" customWidth="1"/>
    <col min="3" max="3" width="11.6640625" style="0" customWidth="1"/>
    <col min="4" max="4" width="13.10546875" style="0" customWidth="1"/>
    <col min="5" max="5" width="13.3359375" style="0" customWidth="1"/>
    <col min="6" max="7" width="11.6640625" style="0" customWidth="1"/>
    <col min="8" max="8" width="13.4453125" style="1" customWidth="1"/>
  </cols>
  <sheetData>
    <row r="1" ht="15.75">
      <c r="A1" s="2" t="s">
        <v>0</v>
      </c>
    </row>
    <row r="2" ht="6" customHeight="1">
      <c r="A2" s="2"/>
    </row>
    <row r="3" ht="15.75">
      <c r="A3" s="2" t="s">
        <v>187</v>
      </c>
    </row>
    <row r="4" ht="15.75">
      <c r="A4" s="2" t="s">
        <v>186</v>
      </c>
    </row>
    <row r="6" spans="4:5" ht="15">
      <c r="D6" s="128" t="s">
        <v>165</v>
      </c>
      <c r="E6" s="128" t="s">
        <v>165</v>
      </c>
    </row>
    <row r="7" spans="4:8" ht="15">
      <c r="D7" s="111" t="s">
        <v>168</v>
      </c>
      <c r="E7" s="127" t="s">
        <v>166</v>
      </c>
      <c r="F7" s="4" t="s">
        <v>1</v>
      </c>
      <c r="G7" s="4"/>
      <c r="H7" s="132" t="s">
        <v>165</v>
      </c>
    </row>
    <row r="8" spans="3:8" ht="15">
      <c r="C8" s="5" t="s">
        <v>2</v>
      </c>
      <c r="D8" s="112" t="s">
        <v>167</v>
      </c>
      <c r="E8" s="5" t="s">
        <v>3</v>
      </c>
      <c r="F8" s="6" t="s">
        <v>177</v>
      </c>
      <c r="G8" s="6"/>
      <c r="H8" s="7" t="s">
        <v>4</v>
      </c>
    </row>
    <row r="9" spans="3:7" ht="15">
      <c r="C9" s="3" t="s">
        <v>5</v>
      </c>
      <c r="D9" s="8"/>
      <c r="E9" s="3" t="s">
        <v>6</v>
      </c>
      <c r="F9" s="3" t="s">
        <v>7</v>
      </c>
      <c r="G9" s="3" t="s">
        <v>6</v>
      </c>
    </row>
    <row r="10" spans="2:10" ht="15">
      <c r="B10" t="s">
        <v>8</v>
      </c>
      <c r="D10" s="111"/>
      <c r="J10" s="129" t="s">
        <v>178</v>
      </c>
    </row>
    <row r="11" spans="2:10" ht="15">
      <c r="B11" t="s">
        <v>9</v>
      </c>
      <c r="C11">
        <v>6400.2</v>
      </c>
      <c r="D11" s="8">
        <v>0.93</v>
      </c>
      <c r="E11">
        <f>C11/D11/8.76</f>
        <v>785.6090735012519</v>
      </c>
      <c r="F11" s="8">
        <v>0.9</v>
      </c>
      <c r="G11">
        <f>F11*E11</f>
        <v>707.0481661511268</v>
      </c>
      <c r="H11" s="1">
        <v>75</v>
      </c>
      <c r="I11" s="9"/>
      <c r="J11" s="10" t="s">
        <v>233</v>
      </c>
    </row>
    <row r="12" spans="2:10" ht="15">
      <c r="B12" t="s">
        <v>10</v>
      </c>
      <c r="C12">
        <v>3555.7</v>
      </c>
      <c r="D12" s="8">
        <v>0.92</v>
      </c>
      <c r="E12">
        <f>C12/D12/8.76</f>
        <v>441.1976374826285</v>
      </c>
      <c r="F12" s="8">
        <f>+F11</f>
        <v>0.9</v>
      </c>
      <c r="G12">
        <f>F12*E12</f>
        <v>397.07787373436565</v>
      </c>
      <c r="H12" s="1">
        <v>160</v>
      </c>
      <c r="I12" s="9"/>
      <c r="J12" s="10" t="s">
        <v>175</v>
      </c>
    </row>
    <row r="13" spans="2:10" ht="15">
      <c r="B13" t="s">
        <v>11</v>
      </c>
      <c r="C13">
        <v>203.1</v>
      </c>
      <c r="D13" s="8">
        <v>0.92</v>
      </c>
      <c r="E13">
        <f>C13/D13/8.76</f>
        <v>25.201012507444908</v>
      </c>
      <c r="F13" s="8">
        <f>+F12</f>
        <v>0.9</v>
      </c>
      <c r="G13">
        <f>F13*E13</f>
        <v>22.68091125670042</v>
      </c>
      <c r="H13" s="1">
        <v>20</v>
      </c>
      <c r="I13" s="9"/>
      <c r="J13" s="10" t="s">
        <v>176</v>
      </c>
    </row>
    <row r="14" spans="4:9" ht="15">
      <c r="D14" s="8"/>
      <c r="F14" s="8"/>
      <c r="I14" s="9"/>
    </row>
    <row r="15" spans="2:9" ht="15">
      <c r="B15" s="11" t="s">
        <v>12</v>
      </c>
      <c r="D15" s="8"/>
      <c r="F15" s="8"/>
      <c r="I15" s="9"/>
    </row>
    <row r="16" spans="2:10" ht="15">
      <c r="B16" t="s">
        <v>9</v>
      </c>
      <c r="C16">
        <v>19.4</v>
      </c>
      <c r="D16" s="8">
        <v>0.9</v>
      </c>
      <c r="E16">
        <f>C16/D16/8.76</f>
        <v>2.4606798579401317</v>
      </c>
      <c r="F16" s="8">
        <v>0.9</v>
      </c>
      <c r="G16">
        <f>F16*E16</f>
        <v>2.2146118721461185</v>
      </c>
      <c r="H16" s="1">
        <v>5</v>
      </c>
      <c r="I16" s="9"/>
      <c r="J16" s="10"/>
    </row>
    <row r="17" spans="2:10" ht="15">
      <c r="B17" t="s">
        <v>10</v>
      </c>
      <c r="C17">
        <v>295.5</v>
      </c>
      <c r="D17" s="8">
        <v>0.8</v>
      </c>
      <c r="E17">
        <f>C17/D17/8.76</f>
        <v>42.16609589041096</v>
      </c>
      <c r="F17" s="8">
        <v>0.8</v>
      </c>
      <c r="G17">
        <f>F17*E17</f>
        <v>33.73287671232877</v>
      </c>
      <c r="H17" s="1">
        <v>310</v>
      </c>
      <c r="I17" s="9"/>
      <c r="J17" s="10"/>
    </row>
    <row r="18" spans="2:11" ht="15">
      <c r="B18" t="s">
        <v>11</v>
      </c>
      <c r="C18">
        <v>126.1</v>
      </c>
      <c r="D18" s="8">
        <v>0.7</v>
      </c>
      <c r="E18">
        <f>C18/D18/8.76</f>
        <v>20.564253098499673</v>
      </c>
      <c r="F18" s="8">
        <v>0.7</v>
      </c>
      <c r="G18">
        <f>F18*E18</f>
        <v>14.39497716894977</v>
      </c>
      <c r="H18" s="1">
        <v>260</v>
      </c>
      <c r="I18">
        <f>SUM(H11:H18)</f>
        <v>830</v>
      </c>
      <c r="K18">
        <f>SUM(E11:E13)</f>
        <v>1252.0077234913254</v>
      </c>
    </row>
    <row r="19" spans="4:6" ht="15">
      <c r="D19" s="8"/>
      <c r="F19" s="8"/>
    </row>
    <row r="20" spans="2:6" ht="15">
      <c r="B20" t="s">
        <v>163</v>
      </c>
      <c r="D20" s="8"/>
      <c r="F20" s="8"/>
    </row>
    <row r="21" spans="2:8" ht="15">
      <c r="B21" t="s">
        <v>9</v>
      </c>
      <c r="C21">
        <v>408.1</v>
      </c>
      <c r="D21" s="8">
        <v>0.3</v>
      </c>
      <c r="E21">
        <f>C21/D21/8.76</f>
        <v>155.28919330289196</v>
      </c>
      <c r="F21" s="8">
        <v>0.9</v>
      </c>
      <c r="G21">
        <f>F21*E21</f>
        <v>139.76027397260276</v>
      </c>
      <c r="H21" s="1">
        <v>30</v>
      </c>
    </row>
    <row r="22" spans="2:8" ht="15">
      <c r="B22" t="s">
        <v>10</v>
      </c>
      <c r="C22">
        <v>150.9</v>
      </c>
      <c r="D22" s="8">
        <v>0.3</v>
      </c>
      <c r="E22">
        <f>C22/D22/8.76</f>
        <v>57.42009132420092</v>
      </c>
      <c r="F22" s="8">
        <v>0.9</v>
      </c>
      <c r="G22">
        <f>F22*E22</f>
        <v>51.678082191780824</v>
      </c>
      <c r="H22" s="1">
        <v>5</v>
      </c>
    </row>
    <row r="23" spans="4:6" ht="15">
      <c r="D23" s="8"/>
      <c r="F23" s="8"/>
    </row>
    <row r="24" spans="2:6" ht="15">
      <c r="B24" t="s">
        <v>164</v>
      </c>
      <c r="D24" s="8"/>
      <c r="F24" s="8"/>
    </row>
    <row r="25" spans="2:8" ht="15">
      <c r="B25" t="s">
        <v>9</v>
      </c>
      <c r="C25">
        <v>50</v>
      </c>
      <c r="D25" s="8">
        <v>0.2</v>
      </c>
      <c r="E25">
        <f>C25/D25/8.76</f>
        <v>28.538812785388128</v>
      </c>
      <c r="F25" s="8">
        <v>0.9</v>
      </c>
      <c r="G25">
        <f>F25*E25</f>
        <v>25.684931506849317</v>
      </c>
      <c r="H25" s="1">
        <v>2</v>
      </c>
    </row>
    <row r="26" spans="2:8" ht="15">
      <c r="B26" t="s">
        <v>10</v>
      </c>
      <c r="C26">
        <v>89</v>
      </c>
      <c r="D26" s="8">
        <v>0.2</v>
      </c>
      <c r="E26">
        <f>C26/D26/8.76</f>
        <v>50.79908675799087</v>
      </c>
      <c r="F26" s="8">
        <v>0.9</v>
      </c>
      <c r="G26">
        <f>F26*E26</f>
        <v>45.71917808219178</v>
      </c>
      <c r="H26" s="1">
        <v>4</v>
      </c>
    </row>
    <row r="27" spans="4:6" ht="15">
      <c r="D27" s="8"/>
      <c r="F27" s="8"/>
    </row>
    <row r="28" spans="2:6" ht="15">
      <c r="B28" t="s">
        <v>13</v>
      </c>
      <c r="D28" s="8"/>
      <c r="F28" s="8"/>
    </row>
    <row r="29" spans="2:10" ht="15">
      <c r="B29" t="s">
        <v>9</v>
      </c>
      <c r="C29">
        <v>5.6</v>
      </c>
      <c r="D29" s="8">
        <v>0.8</v>
      </c>
      <c r="E29">
        <f>C29/D29/8.76</f>
        <v>0.7990867579908675</v>
      </c>
      <c r="F29" s="8">
        <v>0.8</v>
      </c>
      <c r="G29">
        <f>F29*E29</f>
        <v>0.639269406392694</v>
      </c>
      <c r="H29" s="1">
        <v>2</v>
      </c>
      <c r="J29" s="10"/>
    </row>
    <row r="30" spans="2:10" ht="15">
      <c r="B30" t="s">
        <v>10</v>
      </c>
      <c r="C30">
        <v>171.1</v>
      </c>
      <c r="D30" s="8">
        <v>0.7</v>
      </c>
      <c r="E30">
        <f>C30/D30/8.76</f>
        <v>27.902804957599482</v>
      </c>
      <c r="F30" s="8">
        <v>0.7</v>
      </c>
      <c r="G30">
        <f>F30*E30</f>
        <v>19.531963470319635</v>
      </c>
      <c r="H30" s="1">
        <v>1000</v>
      </c>
      <c r="J30" s="10"/>
    </row>
    <row r="31" spans="2:10" ht="15">
      <c r="B31" t="s">
        <v>11</v>
      </c>
      <c r="C31">
        <v>195.3</v>
      </c>
      <c r="D31" s="8">
        <v>0.6</v>
      </c>
      <c r="E31">
        <f>C31/D31/8.76</f>
        <v>37.15753424657535</v>
      </c>
      <c r="F31" s="8">
        <v>0.6</v>
      </c>
      <c r="G31">
        <f>F31*E31</f>
        <v>22.29452054794521</v>
      </c>
      <c r="H31" s="1">
        <v>1800</v>
      </c>
      <c r="I31">
        <f>SUM(H29:H31)</f>
        <v>2802</v>
      </c>
      <c r="J31" s="10"/>
    </row>
    <row r="32" spans="4:6" ht="15">
      <c r="D32" s="8"/>
      <c r="F32" s="8"/>
    </row>
    <row r="33" spans="2:6" ht="15">
      <c r="B33" t="s">
        <v>14</v>
      </c>
      <c r="D33" s="8"/>
      <c r="F33" s="8"/>
    </row>
    <row r="34" spans="2:10" ht="15">
      <c r="B34" t="s">
        <v>9</v>
      </c>
      <c r="C34">
        <v>41.4</v>
      </c>
      <c r="D34" s="8">
        <v>0.1</v>
      </c>
      <c r="E34">
        <f>C34/D34/8.76</f>
        <v>47.26027397260273</v>
      </c>
      <c r="F34" s="8">
        <v>0.1</v>
      </c>
      <c r="G34">
        <f>F34*E34</f>
        <v>4.726027397260274</v>
      </c>
      <c r="H34" s="1">
        <v>20</v>
      </c>
      <c r="J34" s="10"/>
    </row>
    <row r="35" spans="2:10" ht="15">
      <c r="B35" t="s">
        <v>10</v>
      </c>
      <c r="C35">
        <v>254.3</v>
      </c>
      <c r="D35" s="8">
        <v>0.1</v>
      </c>
      <c r="E35">
        <f>C35/D35/8.76</f>
        <v>290.29680365296804</v>
      </c>
      <c r="F35" s="8">
        <v>0.1</v>
      </c>
      <c r="G35">
        <f>F35*E35</f>
        <v>29.029680365296805</v>
      </c>
      <c r="H35" s="1">
        <v>280</v>
      </c>
      <c r="J35" s="10"/>
    </row>
    <row r="36" spans="2:10" ht="15">
      <c r="B36" t="s">
        <v>11</v>
      </c>
      <c r="C36">
        <v>332.3</v>
      </c>
      <c r="D36" s="8">
        <v>0.1</v>
      </c>
      <c r="E36">
        <f>C36/D36/8.76</f>
        <v>379.337899543379</v>
      </c>
      <c r="F36" s="8">
        <v>0.1</v>
      </c>
      <c r="G36">
        <f>F36*E36</f>
        <v>37.933789954337904</v>
      </c>
      <c r="H36" s="1">
        <v>560</v>
      </c>
      <c r="I36">
        <f>SUM(H34:H36)</f>
        <v>860</v>
      </c>
      <c r="J36" s="10"/>
    </row>
    <row r="37" spans="4:6" ht="15">
      <c r="D37" s="8"/>
      <c r="F37" s="8"/>
    </row>
    <row r="38" spans="2:6" ht="15">
      <c r="B38" s="107" t="s">
        <v>169</v>
      </c>
      <c r="D38" s="8"/>
      <c r="F38" s="8"/>
    </row>
    <row r="39" spans="2:10" ht="15">
      <c r="B39" t="s">
        <v>9</v>
      </c>
      <c r="C39">
        <v>4</v>
      </c>
      <c r="D39" s="8">
        <v>0.4</v>
      </c>
      <c r="E39">
        <f>C39/D39/8.76</f>
        <v>1.1415525114155252</v>
      </c>
      <c r="F39" s="8">
        <v>0.9</v>
      </c>
      <c r="G39">
        <f>F39*E39</f>
        <v>1.0273972602739727</v>
      </c>
      <c r="H39" s="1">
        <v>5</v>
      </c>
      <c r="J39" s="10"/>
    </row>
    <row r="40" spans="2:10" ht="15">
      <c r="B40" t="s">
        <v>10</v>
      </c>
      <c r="C40">
        <v>7.5</v>
      </c>
      <c r="D40" s="8">
        <f>D39</f>
        <v>0.4</v>
      </c>
      <c r="E40">
        <f>C40/D40/8.76</f>
        <v>2.1404109589041096</v>
      </c>
      <c r="F40" s="8">
        <v>0.9</v>
      </c>
      <c r="G40">
        <f>F40*E40</f>
        <v>1.9263698630136987</v>
      </c>
      <c r="H40" s="1">
        <v>20</v>
      </c>
      <c r="J40" s="10"/>
    </row>
    <row r="41" spans="2:10" ht="15">
      <c r="B41" t="s">
        <v>11</v>
      </c>
      <c r="C41">
        <v>93.5</v>
      </c>
      <c r="D41" s="8">
        <f>D40</f>
        <v>0.4</v>
      </c>
      <c r="E41">
        <f>C41/D41/8.76</f>
        <v>26.6837899543379</v>
      </c>
      <c r="F41" s="8">
        <v>0.9</v>
      </c>
      <c r="G41">
        <f>F41*E41</f>
        <v>24.01541095890411</v>
      </c>
      <c r="H41" s="1">
        <v>50000</v>
      </c>
      <c r="J41" s="10"/>
    </row>
    <row r="42" spans="4:6" ht="15">
      <c r="D42" s="8"/>
      <c r="F42" s="8"/>
    </row>
    <row r="43" spans="2:6" ht="15">
      <c r="B43" s="107" t="s">
        <v>170</v>
      </c>
      <c r="D43" s="8"/>
      <c r="F43" s="8"/>
    </row>
    <row r="44" spans="2:8" ht="15">
      <c r="B44" t="s">
        <v>10</v>
      </c>
      <c r="C44">
        <v>7.8</v>
      </c>
      <c r="D44" s="8">
        <f>D41</f>
        <v>0.4</v>
      </c>
      <c r="E44">
        <f>C44/D44/8.76</f>
        <v>2.226027397260274</v>
      </c>
      <c r="F44" s="8">
        <v>0.9</v>
      </c>
      <c r="G44">
        <f>F44*E44</f>
        <v>2.003424657534247</v>
      </c>
      <c r="H44" s="1">
        <v>20</v>
      </c>
    </row>
    <row r="45" spans="2:8" ht="15">
      <c r="B45" t="s">
        <v>11</v>
      </c>
      <c r="C45">
        <v>252.2</v>
      </c>
      <c r="D45" s="8">
        <f>D44</f>
        <v>0.4</v>
      </c>
      <c r="E45">
        <f>C45/D45/8.76</f>
        <v>71.97488584474884</v>
      </c>
      <c r="F45" s="8">
        <v>0.9</v>
      </c>
      <c r="G45">
        <f>F45*E45</f>
        <v>64.77739726027396</v>
      </c>
      <c r="H45" s="1">
        <v>130000</v>
      </c>
    </row>
    <row r="46" spans="4:6" ht="15">
      <c r="D46" s="8"/>
      <c r="F46" s="8"/>
    </row>
    <row r="47" spans="2:6" ht="15">
      <c r="B47" t="s">
        <v>171</v>
      </c>
      <c r="D47" s="8"/>
      <c r="F47" s="8"/>
    </row>
    <row r="48" spans="2:6" ht="15">
      <c r="B48" s="107" t="s">
        <v>172</v>
      </c>
      <c r="D48" s="8"/>
      <c r="F48" s="8"/>
    </row>
    <row r="49" spans="2:10" ht="15">
      <c r="B49" t="s">
        <v>9</v>
      </c>
      <c r="C49">
        <v>9.1</v>
      </c>
      <c r="D49" s="8">
        <v>0.35</v>
      </c>
      <c r="E49">
        <f>C49/D49/8.76</f>
        <v>2.9680365296803655</v>
      </c>
      <c r="F49" s="8">
        <v>0.9</v>
      </c>
      <c r="G49">
        <f>F49*E49</f>
        <v>2.671232876712329</v>
      </c>
      <c r="H49" s="1">
        <v>5</v>
      </c>
      <c r="J49" s="10"/>
    </row>
    <row r="50" spans="2:10" ht="15">
      <c r="B50" t="s">
        <v>10</v>
      </c>
      <c r="C50">
        <v>82</v>
      </c>
      <c r="D50" s="8">
        <f>D49</f>
        <v>0.35</v>
      </c>
      <c r="E50">
        <f>C50/D50/8.76</f>
        <v>26.744944553163734</v>
      </c>
      <c r="F50" s="8">
        <v>0.9</v>
      </c>
      <c r="G50">
        <f>F50*E50</f>
        <v>24.07045009784736</v>
      </c>
      <c r="H50" s="1">
        <v>100</v>
      </c>
      <c r="J50" s="10"/>
    </row>
    <row r="51" spans="2:10" ht="15">
      <c r="B51" t="s">
        <v>11</v>
      </c>
      <c r="C51">
        <v>55.9</v>
      </c>
      <c r="D51" s="8">
        <f>D50</f>
        <v>0.35</v>
      </c>
      <c r="E51">
        <f>C51/D51/8.76</f>
        <v>18.23222439660796</v>
      </c>
      <c r="F51" s="8">
        <v>0.9</v>
      </c>
      <c r="G51">
        <f>F51*E51</f>
        <v>16.409001956947165</v>
      </c>
      <c r="H51" s="1">
        <v>15000</v>
      </c>
      <c r="J51" s="10"/>
    </row>
    <row r="52" spans="4:6" ht="15">
      <c r="D52" s="8"/>
      <c r="F52" s="8"/>
    </row>
    <row r="53" spans="2:6" ht="15">
      <c r="B53" t="s">
        <v>171</v>
      </c>
      <c r="D53" s="8"/>
      <c r="F53" s="8"/>
    </row>
    <row r="54" spans="2:6" ht="15">
      <c r="B54" s="107" t="s">
        <v>173</v>
      </c>
      <c r="D54" s="8"/>
      <c r="F54" s="8"/>
    </row>
    <row r="55" spans="2:8" ht="15">
      <c r="B55" t="s">
        <v>10</v>
      </c>
      <c r="C55">
        <v>27</v>
      </c>
      <c r="D55" s="8">
        <f>D51</f>
        <v>0.35</v>
      </c>
      <c r="E55">
        <f>C55/D55/8.76</f>
        <v>8.806262230919767</v>
      </c>
      <c r="F55" s="8">
        <v>0.9</v>
      </c>
      <c r="G55">
        <f>F55*E55</f>
        <v>7.925636007827791</v>
      </c>
      <c r="H55" s="1">
        <v>30</v>
      </c>
    </row>
    <row r="56" spans="2:9" ht="15">
      <c r="B56" t="s">
        <v>11</v>
      </c>
      <c r="C56">
        <v>71</v>
      </c>
      <c r="D56" s="8">
        <f>D55</f>
        <v>0.35</v>
      </c>
      <c r="E56">
        <f>C56/D56/8.76</f>
        <v>23.15720808871494</v>
      </c>
      <c r="F56" s="8">
        <v>0.9</v>
      </c>
      <c r="G56">
        <f>F56*E56</f>
        <v>20.841487279843445</v>
      </c>
      <c r="H56" s="1">
        <v>20000</v>
      </c>
      <c r="I56">
        <f>SUM(H39:H56)</f>
        <v>215180</v>
      </c>
    </row>
    <row r="57" spans="4:6" ht="15">
      <c r="D57" s="8"/>
      <c r="F57" s="8"/>
    </row>
    <row r="58" spans="2:6" ht="15">
      <c r="B58" t="s">
        <v>174</v>
      </c>
      <c r="D58" s="8"/>
      <c r="F58" s="8"/>
    </row>
    <row r="59" spans="2:8" ht="15">
      <c r="B59" t="s">
        <v>9</v>
      </c>
      <c r="C59">
        <v>948.5</v>
      </c>
      <c r="D59" s="17">
        <v>0.3914</v>
      </c>
      <c r="E59">
        <f>C59/D59/8.76</f>
        <v>276.6383640975027</v>
      </c>
      <c r="F59" s="8">
        <v>0.9</v>
      </c>
      <c r="G59">
        <f>F59*E59</f>
        <v>248.9745276877524</v>
      </c>
      <c r="H59" s="1">
        <v>2</v>
      </c>
    </row>
    <row r="60" spans="2:8" ht="15">
      <c r="B60" t="s">
        <v>10</v>
      </c>
      <c r="C60">
        <v>2944.2</v>
      </c>
      <c r="D60" s="17">
        <f>D59</f>
        <v>0.3914</v>
      </c>
      <c r="E60">
        <f>C60/D60/8.76</f>
        <v>858.7018150509936</v>
      </c>
      <c r="F60" s="8">
        <v>0.9</v>
      </c>
      <c r="G60">
        <f>F60*E60</f>
        <v>772.8316335458942</v>
      </c>
      <c r="H60" s="1">
        <v>10</v>
      </c>
    </row>
    <row r="61" spans="2:8" ht="15">
      <c r="B61" t="s">
        <v>11</v>
      </c>
      <c r="C61">
        <v>59.3</v>
      </c>
      <c r="D61" s="17">
        <f>D60</f>
        <v>0.3914</v>
      </c>
      <c r="E61">
        <f>C61/D61/8.76</f>
        <v>17.295366358441655</v>
      </c>
      <c r="F61" s="8">
        <v>0.9</v>
      </c>
      <c r="G61">
        <f>F61*E61</f>
        <v>15.56582972259749</v>
      </c>
      <c r="H61" s="1">
        <v>15</v>
      </c>
    </row>
    <row r="62" spans="4:6" ht="15">
      <c r="D62" s="8"/>
      <c r="F62" s="8"/>
    </row>
    <row r="63" spans="2:6" ht="15">
      <c r="B63" t="s">
        <v>15</v>
      </c>
      <c r="D63" s="8"/>
      <c r="F63" s="8"/>
    </row>
    <row r="64" spans="2:6" ht="15">
      <c r="B64" t="s">
        <v>9</v>
      </c>
      <c r="D64" s="8"/>
      <c r="F64" s="8"/>
    </row>
    <row r="65" spans="2:6" ht="15">
      <c r="B65" t="s">
        <v>10</v>
      </c>
      <c r="D65" s="8"/>
      <c r="F65" s="8"/>
    </row>
    <row r="66" spans="2:6" ht="15">
      <c r="B66" t="s">
        <v>11</v>
      </c>
      <c r="D66" s="8"/>
      <c r="F66" s="8"/>
    </row>
    <row r="67" spans="4:6" ht="15">
      <c r="D67" s="8"/>
      <c r="F67" s="8"/>
    </row>
    <row r="68" spans="2:8" ht="15">
      <c r="B68" s="11" t="s">
        <v>16</v>
      </c>
      <c r="C68">
        <f>SUM(C10:C67)</f>
        <v>16859.999999999996</v>
      </c>
      <c r="D68" s="8"/>
      <c r="E68">
        <f>SUM(E10:E67)</f>
        <v>3728.7112276124544</v>
      </c>
      <c r="G68">
        <f>SUM(G10:G67)</f>
        <v>2757.1869329660167</v>
      </c>
      <c r="H68" s="1">
        <f>SUM(H10:H67)</f>
        <v>219740</v>
      </c>
    </row>
    <row r="69" spans="2:4" ht="12.75" customHeight="1">
      <c r="B69" s="11"/>
      <c r="D69" s="8"/>
    </row>
    <row r="70" spans="2:7" ht="15">
      <c r="B70" s="107" t="s">
        <v>150</v>
      </c>
      <c r="D70" s="8"/>
      <c r="F70" s="8"/>
      <c r="G70">
        <f>'Table 2'!E62</f>
        <v>2757.1896482435936</v>
      </c>
    </row>
    <row r="71" spans="2:6" ht="15">
      <c r="B71" s="11"/>
      <c r="D71" s="8"/>
      <c r="F71" s="8"/>
    </row>
    <row r="72" spans="4:6" ht="15">
      <c r="D72" s="8"/>
      <c r="F72" s="8"/>
    </row>
    <row r="73" spans="2:6" ht="15.75">
      <c r="B73" s="13" t="s">
        <v>17</v>
      </c>
      <c r="C73" s="11" t="s">
        <v>18</v>
      </c>
      <c r="D73" s="8"/>
      <c r="F73" s="8"/>
    </row>
    <row r="74" spans="3:6" ht="15">
      <c r="C74" s="107" t="s">
        <v>245</v>
      </c>
      <c r="D74" s="8"/>
      <c r="F74" s="8"/>
    </row>
    <row r="75" spans="4:6" ht="12.75" customHeight="1">
      <c r="D75" s="8"/>
      <c r="F75" s="8"/>
    </row>
    <row r="76" spans="3:6" ht="15">
      <c r="C76" s="11" t="s">
        <v>19</v>
      </c>
      <c r="D76" s="8"/>
      <c r="F76" s="8"/>
    </row>
    <row r="77" spans="4:6" ht="12.75" customHeight="1">
      <c r="D77" s="8"/>
      <c r="F77" s="8"/>
    </row>
    <row r="78" spans="3:6" ht="15">
      <c r="C78" s="11" t="s">
        <v>20</v>
      </c>
      <c r="D78" s="8"/>
      <c r="F78" s="8"/>
    </row>
    <row r="79" spans="4:6" ht="15">
      <c r="D79" s="8"/>
      <c r="F79" s="8"/>
    </row>
    <row r="80" spans="4:6" ht="15">
      <c r="D80" s="8"/>
      <c r="F80" s="8"/>
    </row>
    <row r="81" spans="3:6" ht="15">
      <c r="C81" s="153"/>
      <c r="D81" s="8"/>
      <c r="F81" s="8"/>
    </row>
    <row r="82" spans="4:6" ht="15">
      <c r="D82" s="8"/>
      <c r="F82" s="8"/>
    </row>
    <row r="83" spans="4:6" ht="15">
      <c r="D83" s="8"/>
      <c r="F83" s="8"/>
    </row>
    <row r="84" spans="4:6" ht="15">
      <c r="D84" s="8"/>
      <c r="F84" s="8"/>
    </row>
    <row r="85" spans="4:6" ht="15">
      <c r="D85" s="8"/>
      <c r="F85" s="8"/>
    </row>
    <row r="86" ht="15">
      <c r="F86" s="8"/>
    </row>
    <row r="87" ht="15">
      <c r="F87" s="8"/>
    </row>
    <row r="88" ht="15">
      <c r="F88" s="8"/>
    </row>
    <row r="89" ht="15">
      <c r="F89" s="8"/>
    </row>
    <row r="90" ht="15">
      <c r="F90" s="8"/>
    </row>
    <row r="91" ht="15">
      <c r="F91" s="8"/>
    </row>
    <row r="92" ht="15">
      <c r="F92" s="8"/>
    </row>
    <row r="93" ht="15">
      <c r="F93" s="8"/>
    </row>
    <row r="94" ht="15">
      <c r="F94" s="8"/>
    </row>
  </sheetData>
  <sheetProtection/>
  <printOptions/>
  <pageMargins left="0.7875" right="0.5" top="0.7875" bottom="0.5" header="0.5" footer="0.5"/>
  <pageSetup fitToHeight="1" fitToWidth="1" horizontalDpi="360" verticalDpi="360" orientation="portrait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showOutlineSymbols="0" zoomScale="87" zoomScaleNormal="87" zoomScalePageLayoutView="0" workbookViewId="0" topLeftCell="A4">
      <selection activeCell="A2" sqref="A2"/>
    </sheetView>
  </sheetViews>
  <sheetFormatPr defaultColWidth="12.6640625" defaultRowHeight="15"/>
  <cols>
    <col min="1" max="1" width="1.66796875" style="57" customWidth="1"/>
    <col min="2" max="2" width="12.6640625" style="57" customWidth="1"/>
    <col min="3" max="3" width="26.6640625" style="57" customWidth="1"/>
    <col min="4" max="4" width="1.66796875" style="57" customWidth="1"/>
    <col min="5" max="16384" width="12.6640625" style="57" customWidth="1"/>
  </cols>
  <sheetData>
    <row r="1" ht="15.75">
      <c r="A1" s="58" t="s">
        <v>242</v>
      </c>
    </row>
    <row r="2" ht="15.75">
      <c r="A2" s="58" t="s">
        <v>122</v>
      </c>
    </row>
    <row r="3" ht="15">
      <c r="H3" s="59"/>
    </row>
    <row r="4" spans="2:8" ht="15.75">
      <c r="B4" s="60" t="s">
        <v>224</v>
      </c>
      <c r="H4" s="59"/>
    </row>
    <row r="5" spans="5:6" ht="12.75" customHeight="1">
      <c r="E5" s="61"/>
      <c r="F5" s="61"/>
    </row>
    <row r="6" spans="2:6" ht="15">
      <c r="B6" s="62" t="s">
        <v>123</v>
      </c>
      <c r="E6" s="63">
        <v>0.19</v>
      </c>
      <c r="F6" s="62" t="s">
        <v>124</v>
      </c>
    </row>
    <row r="7" spans="2:6" ht="15">
      <c r="B7" s="62" t="s">
        <v>125</v>
      </c>
      <c r="E7" s="64">
        <f>ROUND(E6/(1-'Table 3'!J68)/(1-'Table 3'!G68)/(1-'Table 3'!D68),3)</f>
        <v>0.255</v>
      </c>
      <c r="F7" s="62" t="s">
        <v>124</v>
      </c>
    </row>
    <row r="8" spans="2:5" ht="13.5" customHeight="1">
      <c r="B8" s="62"/>
      <c r="E8" s="63"/>
    </row>
    <row r="9" spans="2:7" ht="15.75">
      <c r="B9" s="58" t="s">
        <v>126</v>
      </c>
      <c r="C9" s="65"/>
      <c r="D9" s="58"/>
      <c r="E9" s="66">
        <f>E7</f>
        <v>0.255</v>
      </c>
      <c r="F9" s="58" t="s">
        <v>124</v>
      </c>
      <c r="G9" s="62"/>
    </row>
    <row r="10" spans="4:6" ht="15">
      <c r="D10" s="57" t="s">
        <v>127</v>
      </c>
      <c r="E10" s="67">
        <f>'Table 1'!C41+'Table 1'!C45+'Table 1'!C51+'Table 1'!C56</f>
        <v>472.59999999999997</v>
      </c>
      <c r="F10" s="57" t="s">
        <v>34</v>
      </c>
    </row>
    <row r="11" spans="2:6" ht="15">
      <c r="B11" s="57" t="s">
        <v>128</v>
      </c>
      <c r="D11" s="62" t="s">
        <v>84</v>
      </c>
      <c r="E11" s="57">
        <f>E10*E9*1000</f>
        <v>120512.99999999999</v>
      </c>
      <c r="F11" s="57" t="s">
        <v>129</v>
      </c>
    </row>
    <row r="13" spans="2:6" ht="15">
      <c r="B13" s="57" t="s">
        <v>130</v>
      </c>
      <c r="E13" s="57">
        <f>'Table 8'!C39+'Table 8'!C43+'Table 8'!C49+'Table 8'!C54</f>
        <v>1121067.7032603882</v>
      </c>
      <c r="F13" s="57" t="s">
        <v>129</v>
      </c>
    </row>
    <row r="14" spans="2:6" ht="15">
      <c r="B14" s="57" t="s">
        <v>131</v>
      </c>
      <c r="E14" s="57">
        <f>E13-E11</f>
        <v>1000554.7032603882</v>
      </c>
      <c r="F14" s="57" t="s">
        <v>129</v>
      </c>
    </row>
    <row r="16" spans="2:5" ht="15">
      <c r="B16" s="62" t="s">
        <v>132</v>
      </c>
      <c r="E16" s="57">
        <f>'Table 1'!H41+'Table 1'!H45+'Table 1'!H51+'Table 1'!H56</f>
        <v>215000</v>
      </c>
    </row>
    <row r="17" spans="2:6" ht="15.75">
      <c r="B17" s="58" t="s">
        <v>133</v>
      </c>
      <c r="C17" s="65"/>
      <c r="D17" s="65"/>
      <c r="E17" s="68">
        <f>E14/E16*1000/12</f>
        <v>387.81190048852255</v>
      </c>
      <c r="F17" s="58" t="s">
        <v>134</v>
      </c>
    </row>
    <row r="19" ht="15">
      <c r="B19" s="69" t="s">
        <v>135</v>
      </c>
    </row>
    <row r="20" ht="12.75" customHeight="1"/>
    <row r="21" spans="2:6" ht="15">
      <c r="B21" s="57" t="s">
        <v>126</v>
      </c>
      <c r="E21" s="70">
        <f>E9/28</f>
        <v>0.009107142857142857</v>
      </c>
      <c r="F21" s="57" t="s">
        <v>136</v>
      </c>
    </row>
    <row r="22" spans="2:6" ht="15">
      <c r="B22" s="57" t="s">
        <v>133</v>
      </c>
      <c r="E22" s="71">
        <f>E17/28</f>
        <v>13.850425017447234</v>
      </c>
      <c r="F22" s="57" t="s">
        <v>137</v>
      </c>
    </row>
    <row r="24" ht="15">
      <c r="B24" s="140" t="s">
        <v>225</v>
      </c>
    </row>
    <row r="25" ht="15">
      <c r="B25" s="140" t="s">
        <v>226</v>
      </c>
    </row>
    <row r="27" ht="15.75">
      <c r="B27" s="60" t="s">
        <v>138</v>
      </c>
    </row>
    <row r="28" ht="15">
      <c r="B28" s="62" t="s">
        <v>180</v>
      </c>
    </row>
    <row r="29" ht="15">
      <c r="B29" s="62" t="s">
        <v>181</v>
      </c>
    </row>
    <row r="30" spans="2:5" ht="15">
      <c r="B30" s="62"/>
      <c r="E30" s="63"/>
    </row>
    <row r="31" spans="2:6" ht="15.75">
      <c r="B31" s="58" t="s">
        <v>126</v>
      </c>
      <c r="C31" s="65"/>
      <c r="D31" s="58"/>
      <c r="E31" s="66">
        <f>E9</f>
        <v>0.255</v>
      </c>
      <c r="F31" s="58" t="s">
        <v>124</v>
      </c>
    </row>
    <row r="32" spans="4:6" ht="15">
      <c r="D32" s="57" t="s">
        <v>127</v>
      </c>
      <c r="E32" s="67">
        <f>'Table 1'!C31+'Table 1'!C36</f>
        <v>527.6</v>
      </c>
      <c r="F32" s="57" t="s">
        <v>34</v>
      </c>
    </row>
    <row r="33" spans="4:6" ht="15">
      <c r="D33" s="62" t="s">
        <v>84</v>
      </c>
      <c r="E33" s="57">
        <f>E32*E31*1000</f>
        <v>134538</v>
      </c>
      <c r="F33" s="57" t="s">
        <v>129</v>
      </c>
    </row>
    <row r="35" spans="2:6" ht="15">
      <c r="B35" s="57" t="s">
        <v>130</v>
      </c>
      <c r="E35" s="57">
        <f>'Table 8'!C29+'Table 8'!C34</f>
        <v>255237.02226940135</v>
      </c>
      <c r="F35" s="57" t="s">
        <v>129</v>
      </c>
    </row>
    <row r="36" spans="2:6" ht="15">
      <c r="B36" s="57" t="s">
        <v>131</v>
      </c>
      <c r="E36" s="57">
        <f>E35-E33</f>
        <v>120699.02226940135</v>
      </c>
      <c r="F36" s="57" t="s">
        <v>129</v>
      </c>
    </row>
    <row r="38" spans="2:5" ht="15">
      <c r="B38" s="62" t="s">
        <v>132</v>
      </c>
      <c r="E38" s="57">
        <f>'Table 1'!H31+'Table 1'!H36</f>
        <v>2360</v>
      </c>
    </row>
    <row r="39" spans="2:6" ht="15.75">
      <c r="B39" s="58" t="s">
        <v>133</v>
      </c>
      <c r="C39" s="65"/>
      <c r="D39" s="65"/>
      <c r="E39" s="68">
        <f>E36/E38*1000/12</f>
        <v>4261.971125331968</v>
      </c>
      <c r="F39" s="58" t="s">
        <v>134</v>
      </c>
    </row>
    <row r="41" ht="15">
      <c r="B41" s="69" t="s">
        <v>135</v>
      </c>
    </row>
    <row r="42" ht="12.75" customHeight="1"/>
    <row r="43" spans="2:6" ht="15">
      <c r="B43" s="57" t="s">
        <v>126</v>
      </c>
      <c r="E43" s="70">
        <f>E31/28</f>
        <v>0.009107142857142857</v>
      </c>
      <c r="F43" s="57" t="s">
        <v>136</v>
      </c>
    </row>
    <row r="44" spans="2:6" ht="15">
      <c r="B44" s="57" t="s">
        <v>133</v>
      </c>
      <c r="E44" s="71">
        <f>E39/28</f>
        <v>152.2132544761417</v>
      </c>
      <c r="F44" s="57" t="s">
        <v>137</v>
      </c>
    </row>
    <row r="46" ht="15">
      <c r="B46" s="62" t="s">
        <v>139</v>
      </c>
    </row>
    <row r="47" ht="15">
      <c r="B47" s="62" t="s">
        <v>140</v>
      </c>
    </row>
    <row r="49" ht="15">
      <c r="B49" s="140" t="s">
        <v>225</v>
      </c>
    </row>
    <row r="50" ht="15">
      <c r="B50" s="140" t="s">
        <v>226</v>
      </c>
    </row>
  </sheetData>
  <sheetProtection/>
  <printOptions/>
  <pageMargins left="0.7875" right="0.5" top="0.7875" bottom="0.5" header="0.5" footer="0.5"/>
  <pageSetup fitToHeight="1" fitToWidth="1" horizontalDpi="360" verticalDpi="360" orientation="portrait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showOutlineSymbols="0" zoomScale="87" zoomScaleNormal="87" zoomScalePageLayoutView="0" workbookViewId="0" topLeftCell="A28">
      <selection activeCell="A2" sqref="A2"/>
    </sheetView>
  </sheetViews>
  <sheetFormatPr defaultColWidth="12.6640625" defaultRowHeight="15"/>
  <cols>
    <col min="1" max="1" width="1.66796875" style="72" customWidth="1"/>
    <col min="2" max="2" width="12.6640625" style="72" customWidth="1"/>
    <col min="3" max="3" width="26.6640625" style="72" customWidth="1"/>
    <col min="4" max="4" width="1.66796875" style="72" customWidth="1"/>
    <col min="5" max="16384" width="12.6640625" style="72" customWidth="1"/>
  </cols>
  <sheetData>
    <row r="1" ht="15.75">
      <c r="A1" s="73" t="s">
        <v>243</v>
      </c>
    </row>
    <row r="2" ht="15.75">
      <c r="A2" s="73" t="s">
        <v>122</v>
      </c>
    </row>
    <row r="4" ht="15.75">
      <c r="B4" s="74" t="s">
        <v>141</v>
      </c>
    </row>
    <row r="5" ht="15">
      <c r="B5" s="75" t="s">
        <v>183</v>
      </c>
    </row>
    <row r="6" ht="15">
      <c r="B6" s="75" t="s">
        <v>227</v>
      </c>
    </row>
    <row r="7" spans="2:5" ht="15">
      <c r="B7" s="75"/>
      <c r="E7" s="76"/>
    </row>
    <row r="8" spans="2:6" ht="15.75">
      <c r="B8" s="73" t="s">
        <v>126</v>
      </c>
      <c r="C8" s="77"/>
      <c r="D8" s="73"/>
      <c r="E8" s="78">
        <f>'Table T-2  pg 1'!E9</f>
        <v>0.255</v>
      </c>
      <c r="F8" s="73" t="s">
        <v>124</v>
      </c>
    </row>
    <row r="9" spans="4:6" ht="15">
      <c r="D9" s="72" t="s">
        <v>127</v>
      </c>
      <c r="E9" s="79">
        <f>'Table 1'!C13+'Table 1'!C18+'Table 1'!C61</f>
        <v>388.5</v>
      </c>
      <c r="F9" s="72" t="s">
        <v>34</v>
      </c>
    </row>
    <row r="10" spans="4:6" ht="15">
      <c r="D10" s="75" t="s">
        <v>84</v>
      </c>
      <c r="E10" s="72">
        <f>E9*E8*1000</f>
        <v>99067.5</v>
      </c>
      <c r="F10" s="72" t="s">
        <v>129</v>
      </c>
    </row>
    <row r="12" spans="2:6" ht="15">
      <c r="B12" s="72" t="s">
        <v>130</v>
      </c>
      <c r="E12" s="72">
        <f>'Table 8'!C11+'Table 8'!C16+'Table 8'!C59</f>
        <v>203789.54759433257</v>
      </c>
      <c r="F12" s="72" t="s">
        <v>129</v>
      </c>
    </row>
    <row r="13" spans="2:6" ht="15">
      <c r="B13" s="72" t="s">
        <v>131</v>
      </c>
      <c r="E13" s="72">
        <f>E12-E10</f>
        <v>104722.04759433257</v>
      </c>
      <c r="F13" s="72" t="s">
        <v>129</v>
      </c>
    </row>
    <row r="15" spans="2:6" ht="15">
      <c r="B15" s="72" t="s">
        <v>142</v>
      </c>
      <c r="E15" s="80">
        <f>'Table 1'!E13+'Table 1'!E18+'Table 1'!E61</f>
        <v>63.06063196438623</v>
      </c>
      <c r="F15" s="72" t="s">
        <v>33</v>
      </c>
    </row>
    <row r="16" spans="2:6" ht="15">
      <c r="B16" s="72" t="s">
        <v>143</v>
      </c>
      <c r="E16" s="79">
        <f>E15/0.85</f>
        <v>74.18897878163087</v>
      </c>
      <c r="F16" s="72" t="s">
        <v>33</v>
      </c>
    </row>
    <row r="17" spans="2:7" ht="15">
      <c r="B17" s="75" t="s">
        <v>144</v>
      </c>
      <c r="E17" s="79">
        <f>E16</f>
        <v>74.18897878163087</v>
      </c>
      <c r="F17" s="72" t="s">
        <v>33</v>
      </c>
      <c r="G17" s="75"/>
    </row>
    <row r="18" spans="2:7" ht="15">
      <c r="B18" s="75"/>
      <c r="E18" s="79"/>
      <c r="G18" s="75"/>
    </row>
    <row r="19" spans="2:6" ht="15.75">
      <c r="B19" s="73" t="s">
        <v>121</v>
      </c>
      <c r="C19" s="77"/>
      <c r="D19" s="77"/>
      <c r="E19" s="81">
        <f>E13/E17/12</f>
        <v>117.62983455014847</v>
      </c>
      <c r="F19" s="73" t="s">
        <v>145</v>
      </c>
    </row>
    <row r="21" ht="15">
      <c r="B21" s="82" t="s">
        <v>135</v>
      </c>
    </row>
    <row r="22" ht="12.75" customHeight="1"/>
    <row r="23" spans="2:6" ht="15">
      <c r="B23" s="72" t="s">
        <v>126</v>
      </c>
      <c r="E23" s="83">
        <f>E8/28</f>
        <v>0.009107142857142857</v>
      </c>
      <c r="F23" s="72" t="s">
        <v>136</v>
      </c>
    </row>
    <row r="24" spans="2:6" ht="15">
      <c r="B24" s="75" t="s">
        <v>121</v>
      </c>
      <c r="E24" s="84">
        <f>E19/28</f>
        <v>4.20106551964816</v>
      </c>
      <c r="F24" s="75" t="s">
        <v>146</v>
      </c>
    </row>
    <row r="27" ht="15.75">
      <c r="B27" s="74" t="s">
        <v>147</v>
      </c>
    </row>
    <row r="28" ht="15">
      <c r="B28" s="75" t="s">
        <v>184</v>
      </c>
    </row>
    <row r="29" ht="15">
      <c r="B29" s="75" t="s">
        <v>185</v>
      </c>
    </row>
    <row r="30" spans="2:5" ht="15">
      <c r="B30" s="75"/>
      <c r="E30" s="76"/>
    </row>
    <row r="31" spans="2:6" ht="15">
      <c r="B31" s="75" t="s">
        <v>182</v>
      </c>
      <c r="E31" s="85">
        <f>ROUND(+E8*(1-'Table 2'!F20),3)</f>
        <v>0.212</v>
      </c>
      <c r="F31" s="75" t="s">
        <v>124</v>
      </c>
    </row>
    <row r="32" spans="2:5" ht="15">
      <c r="B32" s="75"/>
      <c r="E32" s="76"/>
    </row>
    <row r="33" spans="2:6" ht="15.75">
      <c r="B33" s="73" t="s">
        <v>126</v>
      </c>
      <c r="C33" s="77"/>
      <c r="D33" s="73"/>
      <c r="E33" s="78">
        <f>E31</f>
        <v>0.212</v>
      </c>
      <c r="F33" s="73" t="s">
        <v>124</v>
      </c>
    </row>
    <row r="34" spans="4:6" ht="15">
      <c r="D34" s="72" t="s">
        <v>127</v>
      </c>
      <c r="E34" s="79">
        <f>'Table 1'!C12+'Table 1'!C17+'Table 1'!C22+'Table 1'!C26+'Table 1'!C30+'Table 1'!C35+'Table 1'!C40+'Table 1'!C44+'Table 1'!C50+'Table 1'!C55+'Table 1'!C60</f>
        <v>7585</v>
      </c>
      <c r="F34" s="72" t="s">
        <v>34</v>
      </c>
    </row>
    <row r="35" spans="4:6" ht="15">
      <c r="D35" s="75" t="s">
        <v>84</v>
      </c>
      <c r="E35" s="72">
        <f>E34*E33*1000</f>
        <v>1608020</v>
      </c>
      <c r="F35" s="72" t="s">
        <v>129</v>
      </c>
    </row>
    <row r="37" spans="2:6" ht="15">
      <c r="B37" s="72" t="s">
        <v>130</v>
      </c>
      <c r="E37" s="72">
        <f>'Table 8'!C10+'Table 8'!C15+'Table 8'!C20+'Table 8'!C24+'Table 8'!C28+'Table 8'!C33+'Table 8'!C38+'Table 8'!C42+'Table 8'!C48+'Table 8'!C53+'Table 8'!C58</f>
        <v>2761114.1048153103</v>
      </c>
      <c r="F37" s="72" t="s">
        <v>129</v>
      </c>
    </row>
    <row r="38" spans="2:6" ht="15">
      <c r="B38" s="72" t="s">
        <v>131</v>
      </c>
      <c r="E38" s="72">
        <f>E37-E35</f>
        <v>1153094.1048153103</v>
      </c>
      <c r="F38" s="72" t="s">
        <v>129</v>
      </c>
    </row>
    <row r="40" spans="2:6" ht="15">
      <c r="B40" s="72" t="s">
        <v>142</v>
      </c>
      <c r="E40" s="79">
        <f>'Table 1'!E12+'Table 1'!E17+'Table 1'!E22+'Table 1'!E26+'Table 1'!E30+'Table 1'!E35+'Table 1'!E40+'Table 1'!E44+'Table 1'!E50+'Table 1'!E55+'Table 1'!E60</f>
        <v>1808.4019802570401</v>
      </c>
      <c r="F40" s="72" t="s">
        <v>33</v>
      </c>
    </row>
    <row r="41" spans="2:6" ht="15">
      <c r="B41" s="72" t="s">
        <v>143</v>
      </c>
      <c r="E41" s="79">
        <f>E40/0.85</f>
        <v>2127.5317414788706</v>
      </c>
      <c r="F41" s="72" t="s">
        <v>33</v>
      </c>
    </row>
    <row r="42" spans="2:6" ht="15">
      <c r="B42" s="75" t="s">
        <v>144</v>
      </c>
      <c r="E42" s="79">
        <f>E41</f>
        <v>2127.5317414788706</v>
      </c>
      <c r="F42" s="72" t="s">
        <v>33</v>
      </c>
    </row>
    <row r="44" spans="2:6" ht="15.75">
      <c r="B44" s="73" t="s">
        <v>121</v>
      </c>
      <c r="C44" s="77"/>
      <c r="D44" s="77"/>
      <c r="E44" s="81">
        <f>E38/E42/12</f>
        <v>45.16556605377922</v>
      </c>
      <c r="F44" s="73" t="s">
        <v>145</v>
      </c>
    </row>
    <row r="46" ht="15">
      <c r="B46" s="82" t="s">
        <v>135</v>
      </c>
    </row>
    <row r="47" ht="12.75" customHeight="1"/>
    <row r="48" spans="2:6" ht="15">
      <c r="B48" s="72" t="s">
        <v>126</v>
      </c>
      <c r="E48" s="83">
        <f>E33/28</f>
        <v>0.007571428571428571</v>
      </c>
      <c r="F48" s="72" t="s">
        <v>136</v>
      </c>
    </row>
    <row r="49" spans="2:6" ht="15">
      <c r="B49" s="75" t="s">
        <v>121</v>
      </c>
      <c r="E49" s="84">
        <f>E44/28</f>
        <v>1.613055930492115</v>
      </c>
      <c r="F49" s="75" t="s">
        <v>146</v>
      </c>
    </row>
  </sheetData>
  <sheetProtection/>
  <printOptions/>
  <pageMargins left="0.7875" right="0.5" top="0.7875" bottom="0.5" header="0.5" footer="0.5"/>
  <pageSetup fitToHeight="1" fitToWidth="1" horizontalDpi="360" verticalDpi="360" orientation="portrait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showOutlineSymbols="0" zoomScale="87" zoomScaleNormal="87" zoomScalePageLayoutView="0" workbookViewId="0" topLeftCell="A22">
      <selection activeCell="A2" sqref="A2"/>
    </sheetView>
  </sheetViews>
  <sheetFormatPr defaultColWidth="12.6640625" defaultRowHeight="15"/>
  <cols>
    <col min="1" max="1" width="1.66796875" style="88" customWidth="1"/>
    <col min="2" max="2" width="12.6640625" style="88" customWidth="1"/>
    <col min="3" max="3" width="27.6640625" style="88" customWidth="1"/>
    <col min="4" max="4" width="1.66796875" style="88" customWidth="1"/>
    <col min="5" max="16384" width="12.6640625" style="88" customWidth="1"/>
  </cols>
  <sheetData>
    <row r="1" spans="1:9" ht="15.75">
      <c r="A1" s="89" t="s">
        <v>244</v>
      </c>
      <c r="I1" s="87"/>
    </row>
    <row r="2" spans="1:9" ht="15.75">
      <c r="A2" s="89" t="s">
        <v>122</v>
      </c>
      <c r="I2" s="87"/>
    </row>
    <row r="3" spans="1:9" ht="15">
      <c r="A3" s="87"/>
      <c r="I3" s="87"/>
    </row>
    <row r="4" spans="1:9" ht="15.75">
      <c r="A4" s="87"/>
      <c r="B4" s="90" t="s">
        <v>148</v>
      </c>
      <c r="I4" s="87"/>
    </row>
    <row r="5" spans="1:9" ht="15">
      <c r="A5" s="87"/>
      <c r="B5" s="75" t="s">
        <v>184</v>
      </c>
      <c r="I5" s="87"/>
    </row>
    <row r="6" spans="1:9" ht="15">
      <c r="A6" s="87"/>
      <c r="B6" s="75" t="s">
        <v>185</v>
      </c>
      <c r="I6" s="87"/>
    </row>
    <row r="7" spans="1:9" ht="15">
      <c r="A7" s="87"/>
      <c r="B7" s="91"/>
      <c r="E7" s="92"/>
      <c r="I7" s="87"/>
    </row>
    <row r="8" spans="1:9" ht="15">
      <c r="A8" s="87"/>
      <c r="B8" s="91" t="s">
        <v>149</v>
      </c>
      <c r="E8" s="93">
        <f>ROUND(+'Table T-2  pg 2'!E33*(1-'Table 2'!F15),3)</f>
        <v>0.2</v>
      </c>
      <c r="F8" s="91" t="s">
        <v>124</v>
      </c>
      <c r="I8" s="87"/>
    </row>
    <row r="9" spans="1:9" ht="15">
      <c r="A9" s="87"/>
      <c r="B9" s="91"/>
      <c r="E9" s="92"/>
      <c r="I9" s="87"/>
    </row>
    <row r="10" spans="1:9" ht="15.75">
      <c r="A10" s="87"/>
      <c r="B10" s="89" t="s">
        <v>126</v>
      </c>
      <c r="C10" s="94"/>
      <c r="D10" s="89"/>
      <c r="E10" s="95">
        <f>E8</f>
        <v>0.2</v>
      </c>
      <c r="F10" s="89" t="s">
        <v>124</v>
      </c>
      <c r="I10" s="87"/>
    </row>
    <row r="11" spans="1:9" ht="15">
      <c r="A11" s="87"/>
      <c r="D11" s="88" t="s">
        <v>127</v>
      </c>
      <c r="E11" s="96">
        <f>'Table 1'!C11+'Table 1'!C16+'Table 1'!C21+'Table 1'!C25+'Table 1'!C29+'Table 1'!C34+'Table 1'!C39+'Table 1'!C49+'Table 1'!C59</f>
        <v>7886.3</v>
      </c>
      <c r="F11" s="88" t="s">
        <v>34</v>
      </c>
      <c r="I11" s="87"/>
    </row>
    <row r="12" spans="1:9" ht="15">
      <c r="A12" s="87"/>
      <c r="D12" s="91" t="s">
        <v>84</v>
      </c>
      <c r="E12" s="88">
        <f>E11*E10*1000</f>
        <v>1577260.0000000002</v>
      </c>
      <c r="F12" s="88" t="s">
        <v>129</v>
      </c>
      <c r="I12" s="87"/>
    </row>
    <row r="13" spans="1:9" ht="15">
      <c r="A13" s="87"/>
      <c r="I13" s="87"/>
    </row>
    <row r="14" spans="1:9" ht="15">
      <c r="A14" s="87"/>
      <c r="B14" s="88" t="s">
        <v>130</v>
      </c>
      <c r="E14" s="88">
        <f>'Table 8'!C9+'Table 8'!C14+'Table 8'!C19+'Table 8'!C23+'Table 8'!C27+'Table 8'!C32+'Table 8'!C37+'Table 8'!C47+'Table 8'!C57</f>
        <v>2081719.6220605671</v>
      </c>
      <c r="F14" s="88" t="s">
        <v>129</v>
      </c>
      <c r="I14" s="87"/>
    </row>
    <row r="15" spans="1:9" ht="15">
      <c r="A15" s="87"/>
      <c r="B15" s="88" t="s">
        <v>131</v>
      </c>
      <c r="E15" s="88">
        <f>E14-E12</f>
        <v>504459.6220605669</v>
      </c>
      <c r="F15" s="88" t="s">
        <v>129</v>
      </c>
      <c r="I15" s="87"/>
    </row>
    <row r="16" spans="1:9" ht="15">
      <c r="A16" s="87"/>
      <c r="I16" s="87"/>
    </row>
    <row r="17" spans="1:9" ht="15">
      <c r="A17" s="87"/>
      <c r="B17" s="88" t="s">
        <v>142</v>
      </c>
      <c r="E17" s="97">
        <f>'Table 1'!E11+'Table 1'!E16+'Table 1'!E21+'Table 1'!E25+'Table 1'!E29+'Table 1'!E34+'Table 1'!E39+'Table 1'!E49+'Table 1'!E59</f>
        <v>1300.7050733166643</v>
      </c>
      <c r="F17" s="88" t="s">
        <v>33</v>
      </c>
      <c r="I17" s="87"/>
    </row>
    <row r="18" spans="1:9" ht="15">
      <c r="A18" s="87"/>
      <c r="B18" s="88" t="s">
        <v>143</v>
      </c>
      <c r="E18" s="96">
        <f>E17/0.85</f>
        <v>1530.2412627254876</v>
      </c>
      <c r="F18" s="88" t="s">
        <v>33</v>
      </c>
      <c r="I18" s="87"/>
    </row>
    <row r="19" spans="1:9" ht="15">
      <c r="A19" s="87"/>
      <c r="B19" s="91" t="s">
        <v>144</v>
      </c>
      <c r="E19" s="96">
        <f>E18</f>
        <v>1530.2412627254876</v>
      </c>
      <c r="F19" s="88" t="s">
        <v>33</v>
      </c>
      <c r="G19" s="91"/>
      <c r="I19" s="87"/>
    </row>
    <row r="20" spans="1:9" ht="15">
      <c r="A20" s="87"/>
      <c r="B20" s="91"/>
      <c r="E20" s="96"/>
      <c r="G20" s="91"/>
      <c r="I20" s="87"/>
    </row>
    <row r="21" spans="1:9" ht="15.75">
      <c r="A21" s="87"/>
      <c r="B21" s="89" t="s">
        <v>121</v>
      </c>
      <c r="C21" s="94"/>
      <c r="D21" s="94"/>
      <c r="E21" s="98">
        <f>E15/E19/12</f>
        <v>27.471682317275153</v>
      </c>
      <c r="F21" s="89" t="s">
        <v>145</v>
      </c>
      <c r="I21" s="87"/>
    </row>
    <row r="22" spans="1:9" ht="15">
      <c r="A22" s="87"/>
      <c r="I22" s="87"/>
    </row>
    <row r="23" spans="1:9" ht="15">
      <c r="A23" s="87"/>
      <c r="B23" s="99" t="s">
        <v>135</v>
      </c>
      <c r="I23" s="87"/>
    </row>
    <row r="24" spans="1:9" ht="12.75" customHeight="1">
      <c r="A24" s="87"/>
      <c r="I24" s="87"/>
    </row>
    <row r="25" spans="1:9" ht="15">
      <c r="A25" s="87"/>
      <c r="B25" s="88" t="s">
        <v>126</v>
      </c>
      <c r="E25" s="100">
        <f>E10/28</f>
        <v>0.0071428571428571435</v>
      </c>
      <c r="F25" s="88" t="s">
        <v>136</v>
      </c>
      <c r="I25" s="87"/>
    </row>
    <row r="26" spans="1:9" ht="15">
      <c r="A26" s="87"/>
      <c r="B26" s="91" t="s">
        <v>121</v>
      </c>
      <c r="E26" s="101">
        <f>E21/28</f>
        <v>0.9811315113312554</v>
      </c>
      <c r="F26" s="91" t="s">
        <v>146</v>
      </c>
      <c r="I26" s="87"/>
    </row>
    <row r="27" spans="1:9" ht="15">
      <c r="A27" s="87"/>
      <c r="I27" s="87"/>
    </row>
    <row r="28" spans="1:9" ht="15">
      <c r="A28" s="87"/>
      <c r="I28" s="87"/>
    </row>
    <row r="29" spans="1:9" ht="15.75">
      <c r="A29" s="87"/>
      <c r="B29" s="90"/>
      <c r="I29" s="87"/>
    </row>
    <row r="30" spans="1:9" ht="15">
      <c r="A30" s="87"/>
      <c r="B30" s="91"/>
      <c r="I30" s="87"/>
    </row>
    <row r="31" spans="1:9" ht="15">
      <c r="A31" s="87"/>
      <c r="B31" s="91"/>
      <c r="E31" s="92"/>
      <c r="I31" s="87"/>
    </row>
    <row r="32" spans="1:9" ht="15">
      <c r="A32" s="87"/>
      <c r="B32" s="91"/>
      <c r="E32" s="102"/>
      <c r="F32" s="103"/>
      <c r="G32" s="103"/>
      <c r="H32" s="104"/>
      <c r="I32" s="87"/>
    </row>
    <row r="33" spans="1:9" ht="12.75" customHeight="1">
      <c r="A33" s="87"/>
      <c r="B33" s="91"/>
      <c r="E33" s="92"/>
      <c r="I33" s="87"/>
    </row>
    <row r="34" spans="1:9" ht="15">
      <c r="A34" s="87"/>
      <c r="B34" s="91"/>
      <c r="E34" s="92"/>
      <c r="F34" s="92"/>
      <c r="G34" s="92"/>
      <c r="H34" s="92"/>
      <c r="I34" s="87"/>
    </row>
    <row r="35" spans="1:9" ht="15">
      <c r="A35" s="87"/>
      <c r="B35" s="91"/>
      <c r="E35" s="92"/>
      <c r="F35" s="92"/>
      <c r="G35" s="92"/>
      <c r="H35" s="92"/>
      <c r="I35" s="87"/>
    </row>
    <row r="36" spans="1:9" ht="12.75" customHeight="1">
      <c r="A36" s="87"/>
      <c r="B36" s="91"/>
      <c r="E36" s="92"/>
      <c r="I36" s="87"/>
    </row>
    <row r="37" spans="1:9" ht="15">
      <c r="A37" s="87"/>
      <c r="B37" s="91"/>
      <c r="E37" s="105"/>
      <c r="F37" s="105"/>
      <c r="G37" s="105"/>
      <c r="H37" s="105"/>
      <c r="I37" s="105"/>
    </row>
    <row r="38" spans="1:9" ht="15">
      <c r="A38" s="87"/>
      <c r="B38" s="91"/>
      <c r="E38" s="92"/>
      <c r="I38" s="87"/>
    </row>
    <row r="39" spans="1:9" ht="15.75">
      <c r="A39" s="87"/>
      <c r="B39" s="89"/>
      <c r="C39" s="94"/>
      <c r="D39" s="89"/>
      <c r="E39" s="95"/>
      <c r="F39" s="89"/>
      <c r="I39" s="87"/>
    </row>
    <row r="40" spans="1:9" ht="15.75">
      <c r="A40" s="87"/>
      <c r="B40" s="89"/>
      <c r="C40" s="94"/>
      <c r="E40" s="106"/>
      <c r="I40" s="87"/>
    </row>
    <row r="41" spans="1:9" ht="15.75">
      <c r="A41" s="87"/>
      <c r="B41" s="89"/>
      <c r="C41" s="94"/>
      <c r="D41" s="91"/>
      <c r="I41" s="87"/>
    </row>
    <row r="42" spans="1:9" ht="15.75">
      <c r="A42" s="87"/>
      <c r="B42" s="89"/>
      <c r="C42" s="94"/>
      <c r="D42" s="91"/>
      <c r="I42" s="87"/>
    </row>
    <row r="43" spans="1:9" ht="15.75">
      <c r="A43" s="87"/>
      <c r="B43" s="89"/>
      <c r="C43" s="94"/>
      <c r="D43" s="89"/>
      <c r="E43" s="95"/>
      <c r="F43" s="89"/>
      <c r="I43" s="87"/>
    </row>
    <row r="44" spans="1:9" ht="15.75">
      <c r="A44" s="87"/>
      <c r="B44" s="89"/>
      <c r="C44" s="94"/>
      <c r="E44" s="106"/>
      <c r="I44" s="87"/>
    </row>
    <row r="45" spans="1:9" ht="15.75">
      <c r="A45" s="87"/>
      <c r="B45" s="89"/>
      <c r="C45" s="94"/>
      <c r="D45" s="91"/>
      <c r="I45" s="87"/>
    </row>
    <row r="46" spans="1:9" ht="15.75">
      <c r="A46" s="87"/>
      <c r="B46" s="89"/>
      <c r="C46" s="94"/>
      <c r="D46" s="89"/>
      <c r="E46" s="95"/>
      <c r="F46" s="89"/>
      <c r="I46" s="87"/>
    </row>
    <row r="47" spans="1:9" ht="15.75">
      <c r="A47" s="87"/>
      <c r="B47" s="89"/>
      <c r="C47" s="94"/>
      <c r="D47" s="89"/>
      <c r="E47" s="95"/>
      <c r="F47" s="89"/>
      <c r="I47" s="86"/>
    </row>
    <row r="48" spans="1:9" ht="15.75">
      <c r="A48" s="87"/>
      <c r="B48" s="89"/>
      <c r="C48" s="94"/>
      <c r="E48" s="106"/>
      <c r="I48" s="87"/>
    </row>
    <row r="49" spans="1:9" ht="15.75">
      <c r="A49" s="87"/>
      <c r="B49" s="89"/>
      <c r="C49" s="94"/>
      <c r="D49" s="91"/>
      <c r="I49" s="87"/>
    </row>
    <row r="50" spans="1:9" ht="15.75">
      <c r="A50" s="87"/>
      <c r="B50" s="89"/>
      <c r="C50" s="94"/>
      <c r="D50" s="89"/>
      <c r="E50" s="95"/>
      <c r="F50" s="89"/>
      <c r="I50" s="87"/>
    </row>
    <row r="51" spans="1:9" ht="15.75">
      <c r="A51" s="87"/>
      <c r="B51" s="89"/>
      <c r="C51" s="94"/>
      <c r="D51" s="89"/>
      <c r="E51" s="95"/>
      <c r="F51" s="89"/>
      <c r="I51" s="87"/>
    </row>
    <row r="52" spans="1:9" ht="15.75">
      <c r="A52" s="87"/>
      <c r="B52" s="89"/>
      <c r="C52" s="94"/>
      <c r="E52" s="106"/>
      <c r="I52" s="87"/>
    </row>
    <row r="53" spans="1:9" ht="15">
      <c r="A53" s="87"/>
      <c r="D53" s="91"/>
      <c r="I53" s="87"/>
    </row>
    <row r="54" spans="1:9" ht="15">
      <c r="A54" s="87"/>
      <c r="I54" s="87"/>
    </row>
    <row r="55" spans="1:9" ht="15">
      <c r="A55" s="87"/>
      <c r="I55" s="87"/>
    </row>
    <row r="56" spans="1:9" ht="15">
      <c r="A56" s="87"/>
      <c r="I56" s="87"/>
    </row>
    <row r="57" spans="1:9" ht="15">
      <c r="A57" s="87"/>
      <c r="I57" s="87"/>
    </row>
    <row r="58" spans="1:9" ht="15">
      <c r="A58" s="87"/>
      <c r="B58" s="91"/>
      <c r="E58" s="96"/>
      <c r="I58" s="87"/>
    </row>
    <row r="59" spans="1:9" ht="15">
      <c r="A59" s="87"/>
      <c r="I59" s="87"/>
    </row>
    <row r="60" spans="1:9" ht="15.75">
      <c r="A60" s="87"/>
      <c r="B60" s="89"/>
      <c r="C60" s="94"/>
      <c r="D60" s="94"/>
      <c r="E60" s="98"/>
      <c r="F60" s="89"/>
      <c r="I60" s="87"/>
    </row>
    <row r="61" spans="1:9" ht="15">
      <c r="A61" s="87"/>
      <c r="I61" s="87"/>
    </row>
    <row r="62" spans="1:9" ht="15">
      <c r="A62" s="87"/>
      <c r="B62" s="99"/>
      <c r="I62" s="87"/>
    </row>
    <row r="63" spans="1:9" ht="12.75" customHeight="1">
      <c r="A63" s="87"/>
      <c r="I63" s="87"/>
    </row>
    <row r="64" spans="1:9" ht="15">
      <c r="A64" s="87"/>
      <c r="B64" s="91"/>
      <c r="E64" s="100"/>
      <c r="I64" s="87"/>
    </row>
    <row r="65" spans="1:9" ht="15">
      <c r="A65" s="87"/>
      <c r="E65" s="100"/>
      <c r="I65" s="87"/>
    </row>
    <row r="66" spans="1:9" ht="15">
      <c r="A66" s="87"/>
      <c r="E66" s="100"/>
      <c r="I66" s="87"/>
    </row>
    <row r="67" spans="1:9" ht="15">
      <c r="A67" s="87"/>
      <c r="E67" s="100"/>
      <c r="I67" s="87"/>
    </row>
    <row r="68" spans="1:9" ht="15">
      <c r="A68" s="87"/>
      <c r="B68" s="91"/>
      <c r="E68" s="101"/>
      <c r="F68" s="91"/>
      <c r="I68" s="87"/>
    </row>
  </sheetData>
  <sheetProtection/>
  <printOptions/>
  <pageMargins left="0.7875" right="0.5" top="0.7875" bottom="0.5" header="0.5" footer="0.5"/>
  <pageSetup fitToHeight="1" fitToWidth="1" horizontalDpi="360" verticalDpi="360" orientation="portrait" scale="6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8"/>
  <sheetViews>
    <sheetView showOutlineSymbols="0" zoomScale="87" zoomScaleNormal="87" zoomScalePageLayoutView="0" workbookViewId="0" topLeftCell="A1">
      <selection activeCell="C52" sqref="C52"/>
    </sheetView>
  </sheetViews>
  <sheetFormatPr defaultColWidth="9.6640625" defaultRowHeight="15"/>
  <cols>
    <col min="1" max="1" width="0.88671875" style="0" customWidth="1"/>
    <col min="2" max="2" width="10.6640625" style="0" customWidth="1"/>
    <col min="3" max="3" width="20.88671875" style="0" customWidth="1"/>
    <col min="4" max="6" width="9.6640625" style="0" customWidth="1"/>
    <col min="7" max="7" width="1.66796875" style="0" customWidth="1"/>
  </cols>
  <sheetData>
    <row r="1" spans="1:9" ht="15.75">
      <c r="A1" s="2" t="s">
        <v>21</v>
      </c>
      <c r="H1" s="10"/>
      <c r="I1" s="145"/>
    </row>
    <row r="2" spans="1:9" ht="6" customHeight="1">
      <c r="A2" s="2"/>
      <c r="H2" s="10"/>
      <c r="I2" s="145"/>
    </row>
    <row r="3" spans="1:9" ht="15.75">
      <c r="A3" s="2" t="s">
        <v>206</v>
      </c>
      <c r="C3" s="2"/>
      <c r="I3" s="145"/>
    </row>
    <row r="4" spans="1:9" ht="15.75">
      <c r="A4" s="2" t="s">
        <v>207</v>
      </c>
      <c r="C4" s="2"/>
      <c r="I4" s="145"/>
    </row>
    <row r="5" ht="15">
      <c r="I5" s="145"/>
    </row>
    <row r="6" spans="2:10" ht="15.75">
      <c r="B6" s="14" t="s">
        <v>208</v>
      </c>
      <c r="C6" s="14"/>
      <c r="I6" s="151"/>
      <c r="J6" s="108"/>
    </row>
    <row r="7" spans="2:10" ht="15.75">
      <c r="B7" s="14"/>
      <c r="C7" s="14"/>
      <c r="F7" s="15" t="s">
        <v>22</v>
      </c>
      <c r="I7" s="152"/>
      <c r="J7" s="108"/>
    </row>
    <row r="8" spans="2:10" ht="15.75">
      <c r="B8" s="11" t="s">
        <v>23</v>
      </c>
      <c r="C8" s="11"/>
      <c r="D8">
        <f>(D11+D13)/(1-F10)</f>
        <v>18624.77723274759</v>
      </c>
      <c r="F8" s="16" t="s">
        <v>24</v>
      </c>
      <c r="I8" s="145"/>
      <c r="J8" s="108"/>
    </row>
    <row r="9" spans="2:9" ht="15">
      <c r="B9" s="11" t="s">
        <v>25</v>
      </c>
      <c r="D9">
        <f>D8-D10-D11-D13</f>
        <v>905.1641735115336</v>
      </c>
      <c r="I9" s="145"/>
    </row>
    <row r="10" spans="2:9" ht="15">
      <c r="B10" s="107" t="s">
        <v>209</v>
      </c>
      <c r="D10">
        <f>'Table 1'!C64</f>
        <v>0</v>
      </c>
      <c r="F10" s="17">
        <v>0.0486</v>
      </c>
      <c r="I10" s="145"/>
    </row>
    <row r="11" spans="2:9" ht="15">
      <c r="B11" s="11" t="s">
        <v>26</v>
      </c>
      <c r="C11" s="11"/>
      <c r="D11">
        <f>'Table 1'!C11+'Table 1'!C16+'Table 1'!C21+'Table 1'!C25+'Table 1'!C29+'Table 1'!C34+'Table 1'!C39+'Table 1'!C49+'Table 1'!C59</f>
        <v>7886.3</v>
      </c>
      <c r="F11" s="12"/>
      <c r="I11" s="145"/>
    </row>
    <row r="12" ht="6" customHeight="1">
      <c r="I12" s="145"/>
    </row>
    <row r="13" spans="2:9" ht="15">
      <c r="B13" t="s">
        <v>27</v>
      </c>
      <c r="D13">
        <f>(D16+D18)/(1-F15)</f>
        <v>9833.313059236058</v>
      </c>
      <c r="I13" s="145"/>
    </row>
    <row r="14" spans="2:9" ht="15">
      <c r="B14" s="11" t="s">
        <v>28</v>
      </c>
      <c r="D14">
        <f>D13-D15-D16-D18</f>
        <v>578.1988078830809</v>
      </c>
      <c r="I14" s="145"/>
    </row>
    <row r="15" spans="2:6" ht="15">
      <c r="B15" s="107" t="s">
        <v>210</v>
      </c>
      <c r="D15">
        <f>'Table 1'!C65</f>
        <v>0</v>
      </c>
      <c r="F15" s="17">
        <v>0.0588</v>
      </c>
    </row>
    <row r="16" spans="2:6" ht="15">
      <c r="B16" s="11" t="s">
        <v>29</v>
      </c>
      <c r="D16">
        <f>'Table 1'!C12+'Table 1'!C17+'Table 1'!C22+'Table 1'!C26+'Table 1'!C30+'Table 1'!C35+'Table 1'!C40+'Table 1'!C44+'Table 1'!C50+'Table 1'!C55+'Table 1'!C60</f>
        <v>7585</v>
      </c>
      <c r="F16" s="12"/>
    </row>
    <row r="17" ht="6" customHeight="1"/>
    <row r="18" spans="2:4" ht="15">
      <c r="B18" t="s">
        <v>30</v>
      </c>
      <c r="D18">
        <f>D21/(1-F20)</f>
        <v>1670.1142513529767</v>
      </c>
    </row>
    <row r="19" spans="2:4" ht="15">
      <c r="B19" s="11" t="s">
        <v>31</v>
      </c>
      <c r="D19">
        <f>D18-D20-D21</f>
        <v>281.41425135297663</v>
      </c>
    </row>
    <row r="20" spans="2:6" ht="15">
      <c r="B20" s="107" t="s">
        <v>211</v>
      </c>
      <c r="D20">
        <f>'Table 1'!C66</f>
        <v>0</v>
      </c>
      <c r="F20" s="17">
        <v>0.1685</v>
      </c>
    </row>
    <row r="21" spans="2:10" ht="15">
      <c r="B21" s="11" t="s">
        <v>32</v>
      </c>
      <c r="D21">
        <f>'Table 1'!C13+'Table 1'!C18+'Table 1'!C31+'Table 1'!C36+'Table 1'!C41+'Table 1'!C45+'Table 1'!C51+'Table 1'!C56+'Table 1'!C61</f>
        <v>1388.7</v>
      </c>
      <c r="J21" s="3"/>
    </row>
    <row r="23" spans="2:3" ht="15">
      <c r="B23" s="14" t="s">
        <v>212</v>
      </c>
      <c r="C23" s="14"/>
    </row>
    <row r="24" ht="6.75" customHeight="1"/>
    <row r="25" spans="2:4" ht="15">
      <c r="B25" s="11" t="s">
        <v>23</v>
      </c>
      <c r="C25" s="11"/>
      <c r="D25">
        <f>D26+D27+D29</f>
        <v>3213.9972847224235</v>
      </c>
    </row>
    <row r="26" spans="2:4" ht="15">
      <c r="B26" s="107" t="s">
        <v>26</v>
      </c>
      <c r="C26" s="11"/>
      <c r="D26">
        <f>'Table 1'!G11+'Table 1'!G16+'Table 1'!G21+'Table 1'!G25+'Table 1'!G29+'Table 1'!G34+'Table 1'!G39+'Table 1'!G49+'Table 1'!G59</f>
        <v>1132.7464381311167</v>
      </c>
    </row>
    <row r="27" spans="2:6" ht="15">
      <c r="B27" s="107" t="s">
        <v>25</v>
      </c>
      <c r="D27">
        <f>E69</f>
        <v>234.3006000000002</v>
      </c>
      <c r="F27" s="12">
        <f>D27/D25</f>
        <v>0.07290006158802202</v>
      </c>
    </row>
    <row r="28" ht="6" customHeight="1"/>
    <row r="29" spans="2:4" ht="15">
      <c r="B29" t="s">
        <v>27</v>
      </c>
      <c r="D29">
        <f>D30+D31+D33</f>
        <v>1846.9502465913065</v>
      </c>
    </row>
    <row r="30" spans="2:4" ht="15">
      <c r="B30" s="107" t="s">
        <v>29</v>
      </c>
      <c r="D30">
        <f>'Table 1'!G12+'Table 1'!G17+'Table 1'!G22+'Table 1'!G26+'Table 1'!G30+'Table 1'!G35+'Table 1'!G40+'Table 1'!G44+'Table 1'!G50+'Table 1'!G55+'Table 1'!G60</f>
        <v>1385.5271687284007</v>
      </c>
    </row>
    <row r="31" spans="2:6" ht="15">
      <c r="B31" s="107" t="s">
        <v>28</v>
      </c>
      <c r="D31">
        <f>E70</f>
        <v>149.66602918090916</v>
      </c>
      <c r="F31" s="12">
        <f>D31/D29</f>
        <v>0.08103414234202017</v>
      </c>
    </row>
    <row r="32" ht="6" customHeight="1"/>
    <row r="33" spans="2:4" ht="15">
      <c r="B33" t="s">
        <v>30</v>
      </c>
      <c r="D33">
        <f>D34+D35</f>
        <v>311.7570486819966</v>
      </c>
    </row>
    <row r="34" spans="2:4" ht="15">
      <c r="B34" s="107" t="s">
        <v>213</v>
      </c>
      <c r="D34">
        <f>'Table 1'!G13+'Table 1'!G18+'Table 1'!G31+'Table 1'!G36+'Table 1'!G41+'Table 1'!G45+'Table 1'!G51+'Table 1'!G56+'Table 1'!G61</f>
        <v>238.91332610649948</v>
      </c>
    </row>
    <row r="35" spans="2:6" ht="15">
      <c r="B35" s="107" t="s">
        <v>214</v>
      </c>
      <c r="D35">
        <f>E71</f>
        <v>72.84372257549713</v>
      </c>
      <c r="F35" s="12">
        <f>D35/D33</f>
        <v>0.23365541495679332</v>
      </c>
    </row>
    <row r="36" ht="12.75" customHeight="1">
      <c r="C36" s="107"/>
    </row>
    <row r="37" spans="2:3" ht="15.75">
      <c r="B37" s="13" t="s">
        <v>17</v>
      </c>
      <c r="C37" t="s">
        <v>198</v>
      </c>
    </row>
    <row r="38" ht="15">
      <c r="C38" s="153" t="s">
        <v>234</v>
      </c>
    </row>
    <row r="39" ht="15">
      <c r="C39" t="s">
        <v>199</v>
      </c>
    </row>
    <row r="40" ht="6.75" customHeight="1"/>
    <row r="41" ht="15">
      <c r="C41" t="s">
        <v>200</v>
      </c>
    </row>
    <row r="42" ht="15">
      <c r="C42" t="s">
        <v>201</v>
      </c>
    </row>
    <row r="43" ht="15">
      <c r="C43" t="s">
        <v>202</v>
      </c>
    </row>
    <row r="44" ht="6.75" customHeight="1"/>
    <row r="45" ht="15">
      <c r="C45" s="154" t="s">
        <v>235</v>
      </c>
    </row>
    <row r="46" ht="15">
      <c r="C46" s="154" t="s">
        <v>236</v>
      </c>
    </row>
    <row r="47" ht="6" customHeight="1">
      <c r="C47" s="11"/>
    </row>
    <row r="48" ht="15">
      <c r="C48" s="107" t="s">
        <v>203</v>
      </c>
    </row>
    <row r="49" ht="15">
      <c r="C49" s="107" t="s">
        <v>204</v>
      </c>
    </row>
    <row r="50" ht="15">
      <c r="C50" s="107" t="s">
        <v>205</v>
      </c>
    </row>
    <row r="51" ht="15">
      <c r="C51" s="154" t="s">
        <v>246</v>
      </c>
    </row>
    <row r="52" ht="6.75" customHeight="1">
      <c r="F52" s="3"/>
    </row>
    <row r="53" spans="3:6" ht="15">
      <c r="C53" s="107" t="s">
        <v>188</v>
      </c>
      <c r="D53" s="18">
        <f>(D9+D10+D14+D15+D19+D20)/D8</f>
        <v>0.09475427333673646</v>
      </c>
      <c r="E53" s="130"/>
      <c r="F53" s="10"/>
    </row>
    <row r="54" ht="6" customHeight="1"/>
    <row r="55" spans="3:6" ht="15">
      <c r="C55" s="107" t="s">
        <v>189</v>
      </c>
      <c r="D55">
        <v>3214</v>
      </c>
      <c r="E55" s="11" t="s">
        <v>33</v>
      </c>
      <c r="F55" s="1"/>
    </row>
    <row r="56" ht="6" customHeight="1"/>
    <row r="57" ht="12.75" customHeight="1">
      <c r="C57" t="s">
        <v>190</v>
      </c>
    </row>
    <row r="58" spans="3:11" ht="15">
      <c r="C58" t="s">
        <v>191</v>
      </c>
      <c r="D58">
        <f>D59*D55</f>
        <v>456.8103517564064</v>
      </c>
      <c r="E58" s="11" t="s">
        <v>33</v>
      </c>
      <c r="J58" s="19"/>
      <c r="K58" s="11"/>
    </row>
    <row r="59" spans="3:13" ht="15">
      <c r="C59" s="107" t="s">
        <v>192</v>
      </c>
      <c r="D59" s="18">
        <f>1.5*D53</f>
        <v>0.14213141000510468</v>
      </c>
      <c r="E59" s="15"/>
      <c r="F59" s="10"/>
      <c r="J59" s="15"/>
      <c r="M59" s="18"/>
    </row>
    <row r="60" ht="6" customHeight="1">
      <c r="J60" s="15"/>
    </row>
    <row r="61" spans="3:13" ht="15">
      <c r="C61" s="107" t="s">
        <v>193</v>
      </c>
      <c r="E61">
        <f>D58</f>
        <v>456.8103517564064</v>
      </c>
      <c r="F61" t="s">
        <v>33</v>
      </c>
      <c r="J61" s="15"/>
      <c r="K61" s="11"/>
      <c r="M61" s="18"/>
    </row>
    <row r="62" spans="3:10" ht="15">
      <c r="C62" t="s">
        <v>194</v>
      </c>
      <c r="E62">
        <f>E63-E61</f>
        <v>2757.1896482435936</v>
      </c>
      <c r="F62" t="s">
        <v>33</v>
      </c>
      <c r="J62" s="15"/>
    </row>
    <row r="63" spans="3:6" ht="15">
      <c r="C63" s="107" t="s">
        <v>195</v>
      </c>
      <c r="E63">
        <f>D55</f>
        <v>3214</v>
      </c>
      <c r="F63" t="s">
        <v>33</v>
      </c>
    </row>
    <row r="64" ht="6.75" customHeight="1"/>
    <row r="65" ht="15">
      <c r="C65" s="107" t="s">
        <v>196</v>
      </c>
    </row>
    <row r="66" ht="15">
      <c r="C66" s="107" t="s">
        <v>197</v>
      </c>
    </row>
    <row r="67" ht="6" customHeight="1"/>
    <row r="68" spans="4:5" ht="15">
      <c r="D68" s="5" t="s">
        <v>36</v>
      </c>
      <c r="E68" s="5" t="s">
        <v>37</v>
      </c>
    </row>
    <row r="69" spans="3:5" ht="15">
      <c r="C69" s="15" t="s">
        <v>38</v>
      </c>
      <c r="D69">
        <f>D9+D10</f>
        <v>905.1641735115336</v>
      </c>
      <c r="E69">
        <f>$E$73/$D$73*D69</f>
        <v>234.3006000000002</v>
      </c>
    </row>
    <row r="70" spans="3:5" ht="15">
      <c r="C70" s="15" t="s">
        <v>39</v>
      </c>
      <c r="D70">
        <f>D14+D15</f>
        <v>578.1988078830809</v>
      </c>
      <c r="E70">
        <f>$E$73/$D$73*D70</f>
        <v>149.66602918090916</v>
      </c>
    </row>
    <row r="71" spans="3:5" ht="15">
      <c r="C71" s="15" t="s">
        <v>40</v>
      </c>
      <c r="D71">
        <f>D19+D20</f>
        <v>281.41425135297663</v>
      </c>
      <c r="E71">
        <f>$E$73/$D$73*D71</f>
        <v>72.84372257549713</v>
      </c>
    </row>
    <row r="72" ht="6" customHeight="1"/>
    <row r="73" spans="3:5" ht="15">
      <c r="C73" s="15" t="s">
        <v>35</v>
      </c>
      <c r="D73">
        <f>SUM(D69:D71)</f>
        <v>1764.7772327475911</v>
      </c>
      <c r="E73">
        <f>D58</f>
        <v>456.8103517564064</v>
      </c>
    </row>
    <row r="76" ht="15.75">
      <c r="B76" s="136"/>
    </row>
    <row r="78" spans="4:6" ht="15">
      <c r="D78" s="135"/>
      <c r="F78" s="135"/>
    </row>
    <row r="79" ht="6.75" customHeight="1"/>
  </sheetData>
  <sheetProtection/>
  <printOptions/>
  <pageMargins left="1.61" right="0.5" top="0.57" bottom="0.5" header="0.54" footer="0.5"/>
  <pageSetup fitToHeight="1" fitToWidth="1" horizontalDpi="360" verticalDpi="36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2"/>
  <sheetViews>
    <sheetView showOutlineSymbols="0" zoomScale="87" zoomScaleNormal="87" zoomScalePageLayoutView="0" workbookViewId="0" topLeftCell="A1">
      <selection activeCell="K71" sqref="K71"/>
    </sheetView>
  </sheetViews>
  <sheetFormatPr defaultColWidth="10.6640625" defaultRowHeight="15"/>
  <cols>
    <col min="1" max="1" width="1.66796875" style="0" customWidth="1"/>
    <col min="2" max="2" width="22.21484375" style="0" customWidth="1"/>
    <col min="3" max="5" width="9.6640625" style="0" customWidth="1"/>
    <col min="6" max="6" width="10.6640625" style="0" customWidth="1"/>
    <col min="7" max="8" width="9.6640625" style="0" customWidth="1"/>
    <col min="9" max="9" width="10.5546875" style="0" customWidth="1"/>
    <col min="10" max="11" width="9.6640625" style="0" customWidth="1"/>
    <col min="12" max="12" width="1.66796875" style="0" customWidth="1"/>
    <col min="13" max="15" width="10.6640625" style="0" customWidth="1"/>
    <col min="16" max="16" width="1.66796875" style="0" customWidth="1"/>
  </cols>
  <sheetData>
    <row r="1" ht="15.75">
      <c r="A1" s="2" t="s">
        <v>41</v>
      </c>
    </row>
    <row r="2" ht="15.75">
      <c r="A2" s="2" t="s">
        <v>42</v>
      </c>
    </row>
    <row r="3" ht="15.75">
      <c r="A3" s="2"/>
    </row>
    <row r="4" spans="1:11" ht="15.75">
      <c r="A4" s="2"/>
      <c r="C4" s="109"/>
      <c r="D4" s="109"/>
      <c r="E4" s="109"/>
      <c r="F4" s="109"/>
      <c r="G4" s="110" t="s">
        <v>34</v>
      </c>
      <c r="H4" s="109"/>
      <c r="I4" s="109"/>
      <c r="J4" s="109"/>
      <c r="K4" s="109"/>
    </row>
    <row r="5" spans="6:15" ht="15">
      <c r="F5" s="3" t="s">
        <v>43</v>
      </c>
      <c r="I5" s="3" t="s">
        <v>44</v>
      </c>
      <c r="M5" s="6" t="s">
        <v>45</v>
      </c>
      <c r="N5" s="6"/>
      <c r="O5" s="6"/>
    </row>
    <row r="6" spans="3:15" ht="15">
      <c r="C6" s="5" t="s">
        <v>46</v>
      </c>
      <c r="D6" s="5" t="s">
        <v>47</v>
      </c>
      <c r="E6" s="5" t="s">
        <v>48</v>
      </c>
      <c r="F6" s="5" t="s">
        <v>49</v>
      </c>
      <c r="G6" s="5" t="s">
        <v>50</v>
      </c>
      <c r="H6" s="5" t="s">
        <v>51</v>
      </c>
      <c r="I6" s="5" t="s">
        <v>52</v>
      </c>
      <c r="J6" s="5" t="s">
        <v>53</v>
      </c>
      <c r="K6" s="5" t="s">
        <v>54</v>
      </c>
      <c r="M6" s="16" t="s">
        <v>40</v>
      </c>
      <c r="N6" s="16" t="s">
        <v>39</v>
      </c>
      <c r="O6" s="16" t="s">
        <v>38</v>
      </c>
    </row>
    <row r="8" ht="15">
      <c r="B8" t="s">
        <v>8</v>
      </c>
    </row>
    <row r="9" spans="2:15" ht="15">
      <c r="B9" t="s">
        <v>9</v>
      </c>
      <c r="I9">
        <f>'Table 1'!C11</f>
        <v>6400.2</v>
      </c>
      <c r="J9">
        <f>$J$66/$I$66*I9</f>
        <v>326.93895312171554</v>
      </c>
      <c r="K9">
        <f>J9+I9</f>
        <v>6727.1389531217155</v>
      </c>
      <c r="O9" s="9">
        <f>K9/$K$66*100</f>
        <v>36.11929887297398</v>
      </c>
    </row>
    <row r="10" spans="2:15" ht="15">
      <c r="B10" t="s">
        <v>10</v>
      </c>
      <c r="F10">
        <f>'Table 1'!C12</f>
        <v>3555.7</v>
      </c>
      <c r="G10">
        <f>$G$66/$F$66*F10</f>
        <v>222.13680407989827</v>
      </c>
      <c r="H10">
        <f>G10+F10</f>
        <v>3777.8368040798982</v>
      </c>
      <c r="I10">
        <f>H10</f>
        <v>3777.8368040798982</v>
      </c>
      <c r="J10">
        <f>$J$66/$I$66*I10</f>
        <v>192.98178334904685</v>
      </c>
      <c r="K10">
        <f>J10+I10</f>
        <v>3970.818587428945</v>
      </c>
      <c r="O10" s="9">
        <f>K10/$K$66*100</f>
        <v>21.320086344158415</v>
      </c>
    </row>
    <row r="11" spans="2:15" ht="15">
      <c r="B11" t="s">
        <v>11</v>
      </c>
      <c r="C11">
        <f>'Table 1'!C13</f>
        <v>203.1</v>
      </c>
      <c r="D11">
        <f>$D$66/$C$66*C11</f>
        <v>41.157366205652444</v>
      </c>
      <c r="E11">
        <f>D11+C11</f>
        <v>244.25736620565243</v>
      </c>
      <c r="F11">
        <f>E11</f>
        <v>244.25736620565243</v>
      </c>
      <c r="G11">
        <f>$G$66/$F$66*F11</f>
        <v>15.25959746376156</v>
      </c>
      <c r="H11">
        <f>G11+F11</f>
        <v>259.516963669414</v>
      </c>
      <c r="I11">
        <f>H11</f>
        <v>259.516963669414</v>
      </c>
      <c r="J11">
        <f>$J$66/$I$66*I11</f>
        <v>13.256805165370537</v>
      </c>
      <c r="K11">
        <f>J11+I11</f>
        <v>272.7737688347845</v>
      </c>
      <c r="O11" s="9">
        <f>K11/$K$66*100</f>
        <v>1.46457466538269</v>
      </c>
    </row>
    <row r="13" spans="2:5" ht="15">
      <c r="B13" s="11" t="s">
        <v>12</v>
      </c>
      <c r="D13" s="11"/>
      <c r="E13" s="11"/>
    </row>
    <row r="14" spans="2:15" ht="15">
      <c r="B14" t="s">
        <v>9</v>
      </c>
      <c r="I14">
        <f>'Table 1'!C16</f>
        <v>19.4</v>
      </c>
      <c r="J14">
        <f>$J$66/$I$66*I14</f>
        <v>0.9910027328147998</v>
      </c>
      <c r="K14">
        <f>J14+I14</f>
        <v>20.391002732814798</v>
      </c>
      <c r="O14" s="9">
        <f>K14/$K$66*100</f>
        <v>0.1094832033585974</v>
      </c>
    </row>
    <row r="15" spans="2:15" ht="15">
      <c r="B15" t="s">
        <v>10</v>
      </c>
      <c r="F15">
        <f>'Table 1'!C17</f>
        <v>295.5</v>
      </c>
      <c r="G15">
        <f>$G$66/$F$66*F15</f>
        <v>18.460900977475585</v>
      </c>
      <c r="H15">
        <f>G15+F15</f>
        <v>313.9609009774756</v>
      </c>
      <c r="I15">
        <f>H15</f>
        <v>313.9609009774756</v>
      </c>
      <c r="J15">
        <f>$J$66/$I$66*I15</f>
        <v>16.037943859055417</v>
      </c>
      <c r="K15">
        <f>J15+I15</f>
        <v>329.998844836531</v>
      </c>
      <c r="O15" s="9">
        <f>K15/$K$66*100</f>
        <v>1.7718270705343004</v>
      </c>
    </row>
    <row r="16" spans="2:15" ht="15">
      <c r="B16" t="s">
        <v>11</v>
      </c>
      <c r="C16">
        <f>'Table 1'!C18</f>
        <v>126.1</v>
      </c>
      <c r="D16">
        <f>$D$66/$C$66*C16</f>
        <v>25.553638003607944</v>
      </c>
      <c r="E16">
        <f>D16+C16</f>
        <v>151.65363800360794</v>
      </c>
      <c r="F16">
        <f>E16</f>
        <v>151.65363800360794</v>
      </c>
      <c r="G16">
        <f>$G$66/$F$66*F16</f>
        <v>9.474324176171013</v>
      </c>
      <c r="H16">
        <f>G16+F16</f>
        <v>161.12796217977896</v>
      </c>
      <c r="I16">
        <f>H16</f>
        <v>161.12796217977896</v>
      </c>
      <c r="J16">
        <f>$J$66/$I$66*I16</f>
        <v>8.230837672837147</v>
      </c>
      <c r="K16">
        <f>J16+I16</f>
        <v>169.3587998526161</v>
      </c>
      <c r="O16" s="9">
        <f>K16/$K$66*100</f>
        <v>0.9093198685610893</v>
      </c>
    </row>
    <row r="18" ht="15">
      <c r="B18" t="s">
        <v>163</v>
      </c>
    </row>
    <row r="19" spans="2:15" ht="15">
      <c r="B19" t="s">
        <v>9</v>
      </c>
      <c r="I19">
        <f>'Table 1'!C21</f>
        <v>408.1</v>
      </c>
      <c r="J19">
        <f>$J$66/$I$66*I19</f>
        <v>20.84681521967628</v>
      </c>
      <c r="K19">
        <f>J19+I19</f>
        <v>428.9468152196763</v>
      </c>
      <c r="O19" s="9">
        <f>K19/$K$66*100</f>
        <v>2.3030976953940003</v>
      </c>
    </row>
    <row r="20" spans="2:15" ht="15">
      <c r="B20" t="s">
        <v>10</v>
      </c>
      <c r="F20">
        <f>'Table 1'!C22</f>
        <v>150.9</v>
      </c>
      <c r="G20">
        <f>$G$66/$F$66*F20</f>
        <v>9.427241818954538</v>
      </c>
      <c r="H20">
        <f>G20+F20</f>
        <v>160.32724181895455</v>
      </c>
      <c r="I20">
        <f>H20</f>
        <v>160.32724181895455</v>
      </c>
      <c r="J20">
        <f>$J$66/$I$66*I20</f>
        <v>8.189934782847589</v>
      </c>
      <c r="K20">
        <f>J20+I20</f>
        <v>168.51717660180213</v>
      </c>
      <c r="O20" s="9">
        <f>K20/$K$66*100</f>
        <v>0.9048010319581249</v>
      </c>
    </row>
    <row r="21" ht="15">
      <c r="O21" s="9"/>
    </row>
    <row r="22" ht="15">
      <c r="B22" t="s">
        <v>164</v>
      </c>
    </row>
    <row r="23" spans="2:15" ht="15">
      <c r="B23" t="s">
        <v>9</v>
      </c>
      <c r="I23">
        <f>'Table 1'!C25</f>
        <v>50</v>
      </c>
      <c r="J23">
        <f>$J$66/$I$66*I23</f>
        <v>2.554130754677319</v>
      </c>
      <c r="K23">
        <f>J23+I23</f>
        <v>52.55413075467732</v>
      </c>
      <c r="O23" s="9">
        <f>K23/$K$66*100</f>
        <v>0.2821732045324675</v>
      </c>
    </row>
    <row r="24" spans="2:15" ht="15">
      <c r="B24" t="s">
        <v>10</v>
      </c>
      <c r="F24">
        <f>'Table 1'!C26</f>
        <v>89</v>
      </c>
      <c r="G24">
        <f>$G$66/$F$66*F24</f>
        <v>5.560135996600092</v>
      </c>
      <c r="H24">
        <f>G24+F24</f>
        <v>94.5601359966001</v>
      </c>
      <c r="I24">
        <f>H24</f>
        <v>94.5601359966001</v>
      </c>
      <c r="J24">
        <f>$J$66/$I$66*I24</f>
        <v>4.830379030307723</v>
      </c>
      <c r="K24">
        <f>J24+I24</f>
        <v>99.39051502690782</v>
      </c>
      <c r="O24" s="9">
        <f>K24/$K$66*100</f>
        <v>0.5336467319037318</v>
      </c>
    </row>
    <row r="25" ht="15">
      <c r="O25" s="9"/>
    </row>
    <row r="26" spans="2:15" ht="15">
      <c r="B26" t="s">
        <v>13</v>
      </c>
      <c r="O26" s="9"/>
    </row>
    <row r="27" spans="2:15" ht="15">
      <c r="B27" t="s">
        <v>9</v>
      </c>
      <c r="I27">
        <f>'Table 1'!C29</f>
        <v>5.6</v>
      </c>
      <c r="J27">
        <f>$J$66/$I$66*I27</f>
        <v>0.2860626445238597</v>
      </c>
      <c r="K27">
        <f>J27+I27</f>
        <v>5.886062644523859</v>
      </c>
      <c r="O27" s="9">
        <f>K27/$K$66*100</f>
        <v>0.03160339890763636</v>
      </c>
    </row>
    <row r="28" spans="2:15" ht="15">
      <c r="B28" t="s">
        <v>10</v>
      </c>
      <c r="F28">
        <f>'Table 1'!C30</f>
        <v>171.1</v>
      </c>
      <c r="G28">
        <f>$G$66/$F$66*F28</f>
        <v>10.689205269868266</v>
      </c>
      <c r="H28">
        <f>G28+F28</f>
        <v>181.78920526986826</v>
      </c>
      <c r="I28">
        <f>H28</f>
        <v>181.78920526986826</v>
      </c>
      <c r="J28">
        <f>$J$66/$I$66*I28</f>
        <v>9.286268000962375</v>
      </c>
      <c r="K28">
        <f>J28+I28</f>
        <v>191.07547327083063</v>
      </c>
      <c r="O28" s="9">
        <f>K28/$K$66*100</f>
        <v>1.0259208520081853</v>
      </c>
    </row>
    <row r="29" spans="2:15" ht="15">
      <c r="B29" t="s">
        <v>11</v>
      </c>
      <c r="C29">
        <f>'Table 1'!C31</f>
        <v>195.3</v>
      </c>
      <c r="D29">
        <f>$D$66/$C$66*C29</f>
        <v>39.57672880336742</v>
      </c>
      <c r="E29">
        <f>D29+C29</f>
        <v>234.87672880336743</v>
      </c>
      <c r="F29">
        <f>E29</f>
        <v>234.87672880336743</v>
      </c>
      <c r="G29">
        <f>$G$66/$F$66*F29</f>
        <v>14.673556793070572</v>
      </c>
      <c r="H29">
        <f>G29+F29</f>
        <v>249.550285596438</v>
      </c>
      <c r="I29">
        <f>H29</f>
        <v>249.550285596438</v>
      </c>
      <c r="J29">
        <f>$J$66/$I$66*I29</f>
        <v>12.747681185607414</v>
      </c>
      <c r="K29">
        <f>J29+I29</f>
        <v>262.2979667820454</v>
      </c>
      <c r="O29" s="9">
        <f>K29/$K$66*100</f>
        <v>1.408328075574788</v>
      </c>
    </row>
    <row r="30" ht="15">
      <c r="O30" s="9"/>
    </row>
    <row r="31" ht="15">
      <c r="B31" t="s">
        <v>14</v>
      </c>
    </row>
    <row r="32" spans="2:15" ht="15">
      <c r="B32" t="s">
        <v>9</v>
      </c>
      <c r="D32" s="11"/>
      <c r="E32" s="11"/>
      <c r="I32">
        <f>'Table 1'!C34</f>
        <v>41.4</v>
      </c>
      <c r="J32">
        <f>$J$66/$I$66*I32</f>
        <v>2.11482026487282</v>
      </c>
      <c r="K32">
        <f>J32+I32</f>
        <v>43.51482026487282</v>
      </c>
      <c r="O32" s="9">
        <f>K32/$K$66*100</f>
        <v>0.2336394133528831</v>
      </c>
    </row>
    <row r="33" spans="2:15" ht="15">
      <c r="B33" t="s">
        <v>10</v>
      </c>
      <c r="D33" s="11"/>
      <c r="E33" s="11"/>
      <c r="F33">
        <f>'Table 1'!C35</f>
        <v>254.3</v>
      </c>
      <c r="G33">
        <f>$G$66/$F$66*F33</f>
        <v>15.886995325116892</v>
      </c>
      <c r="H33">
        <f>G33+F33</f>
        <v>270.1869953251169</v>
      </c>
      <c r="I33">
        <f>H33</f>
        <v>270.1869953251169</v>
      </c>
      <c r="J33">
        <f>$J$66/$I$66*I33</f>
        <v>13.801858285474765</v>
      </c>
      <c r="K33">
        <f>J33+I33</f>
        <v>283.9888536105917</v>
      </c>
      <c r="O33" s="9">
        <f>K33/$K$66*100</f>
        <v>1.5247906058777416</v>
      </c>
    </row>
    <row r="34" spans="2:15" ht="15">
      <c r="B34" t="s">
        <v>11</v>
      </c>
      <c r="C34">
        <f>'Table 1'!C36</f>
        <v>332.3</v>
      </c>
      <c r="D34">
        <f>$D$66/$C$66*C34</f>
        <v>67.33920625375829</v>
      </c>
      <c r="E34">
        <f>D34+C34</f>
        <v>399.6392062537583</v>
      </c>
      <c r="F34">
        <f>E34</f>
        <v>399.6392062537583</v>
      </c>
      <c r="G34">
        <f>$G$66/$F$66*F34</f>
        <v>24.966835239822586</v>
      </c>
      <c r="H34">
        <f>G34+F34</f>
        <v>424.60604149358085</v>
      </c>
      <c r="I34">
        <f>H34</f>
        <v>424.60604149358085</v>
      </c>
      <c r="J34">
        <f>$J$66/$I$66*I34</f>
        <v>21.689986984010975</v>
      </c>
      <c r="K34">
        <f>J34+I34</f>
        <v>446.29602847759185</v>
      </c>
      <c r="O34" s="9">
        <f>K34/$K$66*100</f>
        <v>2.396248947841792</v>
      </c>
    </row>
    <row r="35" ht="15">
      <c r="O35" s="9"/>
    </row>
    <row r="36" ht="15">
      <c r="B36" s="107" t="s">
        <v>169</v>
      </c>
    </row>
    <row r="37" spans="2:15" ht="15">
      <c r="B37" t="s">
        <v>9</v>
      </c>
      <c r="D37" s="11"/>
      <c r="E37" s="11"/>
      <c r="I37">
        <f>'Table 1'!C39</f>
        <v>4</v>
      </c>
      <c r="J37">
        <f>$J$66/$I$66*I37</f>
        <v>0.20433046037418554</v>
      </c>
      <c r="K37">
        <f>J37+I37</f>
        <v>4.204330460374186</v>
      </c>
      <c r="O37" s="9">
        <f>K37/$K$66*100</f>
        <v>0.022573856362597407</v>
      </c>
    </row>
    <row r="38" spans="2:15" ht="15">
      <c r="B38" t="s">
        <v>10</v>
      </c>
      <c r="D38" s="11"/>
      <c r="E38" s="11"/>
      <c r="F38">
        <f>'Table 1'!C40</f>
        <v>7.5</v>
      </c>
      <c r="G38">
        <f>$G$66/$F$66*F38</f>
        <v>0.46855078623034485</v>
      </c>
      <c r="H38">
        <f>G38+F38</f>
        <v>7.968550786230345</v>
      </c>
      <c r="I38">
        <f>H38</f>
        <v>7.968550786230345</v>
      </c>
      <c r="J38">
        <f>$J$66/$I$66*I38</f>
        <v>0.40705441266638115</v>
      </c>
      <c r="K38">
        <f>J38+I38</f>
        <v>8.375605198896727</v>
      </c>
      <c r="O38" s="9">
        <f>K38/$K$66*100</f>
        <v>0.04497023021660661</v>
      </c>
    </row>
    <row r="39" spans="2:15" ht="15">
      <c r="B39" t="s">
        <v>11</v>
      </c>
      <c r="C39">
        <f>'Table 1'!C41</f>
        <v>93.5</v>
      </c>
      <c r="D39">
        <f>$D$66/$C$66*C39</f>
        <v>18.94738424533975</v>
      </c>
      <c r="E39">
        <f>D39+C39</f>
        <v>112.44738424533975</v>
      </c>
      <c r="F39">
        <f>E39</f>
        <v>112.44738424533975</v>
      </c>
      <c r="G39">
        <f>$G$66/$F$66*F39</f>
        <v>7.02497470635995</v>
      </c>
      <c r="H39">
        <f>G39+F39</f>
        <v>119.4723589516997</v>
      </c>
      <c r="I39">
        <f>H39</f>
        <v>119.4723589516997</v>
      </c>
      <c r="J39">
        <f>$J$66/$I$66*I39</f>
        <v>6.102960526647687</v>
      </c>
      <c r="K39">
        <f>J39+I39</f>
        <v>125.5753194783474</v>
      </c>
      <c r="O39" s="9">
        <f>K39/$K$66*100</f>
        <v>0.6742379675690868</v>
      </c>
    </row>
    <row r="40" ht="15">
      <c r="O40" s="9"/>
    </row>
    <row r="41" ht="15">
      <c r="B41" s="107" t="s">
        <v>170</v>
      </c>
    </row>
    <row r="42" spans="2:15" ht="15">
      <c r="B42" t="s">
        <v>10</v>
      </c>
      <c r="F42">
        <f>'Table 1'!C44</f>
        <v>7.8</v>
      </c>
      <c r="G42">
        <f>$G$66/$F$66*F42</f>
        <v>0.4872928176795586</v>
      </c>
      <c r="H42">
        <f>G42+F42</f>
        <v>8.287292817679559</v>
      </c>
      <c r="I42">
        <f>H42</f>
        <v>8.287292817679559</v>
      </c>
      <c r="J42">
        <f>$J$66/$I$66*I42</f>
        <v>0.42333658917303635</v>
      </c>
      <c r="K42">
        <f>J42+I42</f>
        <v>8.710629406852595</v>
      </c>
      <c r="O42" s="9">
        <f>K42/$K$66*100</f>
        <v>0.04676903942527087</v>
      </c>
    </row>
    <row r="43" spans="2:15" ht="15">
      <c r="B43" t="s">
        <v>11</v>
      </c>
      <c r="C43">
        <f>'Table 1'!C45</f>
        <v>252.2</v>
      </c>
      <c r="D43">
        <f>$D$66/$C$66*C43</f>
        <v>51.10727600721589</v>
      </c>
      <c r="E43">
        <f>D43+C43</f>
        <v>303.3072760072159</v>
      </c>
      <c r="F43">
        <f>E43</f>
        <v>303.3072760072159</v>
      </c>
      <c r="G43">
        <f>$G$66/$F$66*F43</f>
        <v>18.948648352342026</v>
      </c>
      <c r="H43">
        <f>G43+F43</f>
        <v>322.2559243595579</v>
      </c>
      <c r="I43">
        <f>H43</f>
        <v>322.2559243595579</v>
      </c>
      <c r="J43">
        <f>$J$66/$I$66*I43</f>
        <v>16.461675345674294</v>
      </c>
      <c r="K43">
        <f>J43+I43</f>
        <v>338.7175997052322</v>
      </c>
      <c r="O43" s="9">
        <f>K43/$K$66*100</f>
        <v>1.8186397371221785</v>
      </c>
    </row>
    <row r="44" ht="15">
      <c r="O44" s="9"/>
    </row>
    <row r="45" spans="2:15" ht="15">
      <c r="B45" t="s">
        <v>171</v>
      </c>
      <c r="O45" s="9"/>
    </row>
    <row r="46" spans="2:15" ht="15">
      <c r="B46" s="107" t="s">
        <v>172</v>
      </c>
      <c r="O46" s="9"/>
    </row>
    <row r="47" spans="2:15" ht="15">
      <c r="B47" t="s">
        <v>9</v>
      </c>
      <c r="I47">
        <f>'Table 1'!C49</f>
        <v>9.1</v>
      </c>
      <c r="J47">
        <f>$J$66/$I$66*I47</f>
        <v>0.4648517973512721</v>
      </c>
      <c r="K47">
        <f>J47+I47</f>
        <v>9.564851797351272</v>
      </c>
      <c r="O47" s="9">
        <f>K47/$K$66*100</f>
        <v>0.05135552322490909</v>
      </c>
    </row>
    <row r="48" spans="2:15" ht="15">
      <c r="B48" t="s">
        <v>10</v>
      </c>
      <c r="F48">
        <f>'Table 1'!C50</f>
        <v>82</v>
      </c>
      <c r="G48">
        <f>$G$66/$F$66*F48</f>
        <v>5.12282192945177</v>
      </c>
      <c r="H48">
        <f>G48+F48</f>
        <v>87.12282192945177</v>
      </c>
      <c r="I48">
        <f>H48</f>
        <v>87.12282192945177</v>
      </c>
      <c r="J48">
        <f>$J$66/$I$66*I48</f>
        <v>4.4504615784857675</v>
      </c>
      <c r="K48">
        <f>J48+I48</f>
        <v>91.57328350793755</v>
      </c>
      <c r="O48" s="9">
        <f>K48/$K$66*100</f>
        <v>0.49167451703489895</v>
      </c>
    </row>
    <row r="49" spans="2:15" ht="15">
      <c r="B49" t="s">
        <v>11</v>
      </c>
      <c r="C49">
        <f>'Table 1'!C51</f>
        <v>55.9</v>
      </c>
      <c r="D49">
        <f>$D$66/$C$66*C49</f>
        <v>11.327901383042697</v>
      </c>
      <c r="E49">
        <f>D49+C49</f>
        <v>67.22790138304269</v>
      </c>
      <c r="F49">
        <f>E49</f>
        <v>67.22790138304269</v>
      </c>
      <c r="G49">
        <f>$G$66/$F$66*F49</f>
        <v>4.199958139952098</v>
      </c>
      <c r="H49">
        <f>G49+F49</f>
        <v>71.4278595229948</v>
      </c>
      <c r="I49">
        <f>H49</f>
        <v>71.4278595229948</v>
      </c>
      <c r="J49">
        <f>$J$66/$I$66*I49</f>
        <v>3.6487218549690446</v>
      </c>
      <c r="K49">
        <f>J49+I49</f>
        <v>75.07658137796383</v>
      </c>
      <c r="O49" s="9">
        <f>K49/$K$66*100</f>
        <v>0.4031005602899674</v>
      </c>
    </row>
    <row r="50" ht="15">
      <c r="O50" s="9"/>
    </row>
    <row r="51" spans="2:15" ht="15">
      <c r="B51" t="s">
        <v>171</v>
      </c>
      <c r="O51" s="9"/>
    </row>
    <row r="52" spans="2:15" ht="15">
      <c r="B52" s="107" t="s">
        <v>173</v>
      </c>
      <c r="O52" s="9"/>
    </row>
    <row r="53" spans="2:15" ht="15">
      <c r="B53" t="s">
        <v>10</v>
      </c>
      <c r="F53">
        <f>'Table 1'!C55</f>
        <v>27</v>
      </c>
      <c r="G53">
        <f>$G$66/$F$66*F53</f>
        <v>1.6867828304292414</v>
      </c>
      <c r="H53">
        <f>G53+F53</f>
        <v>28.68678283042924</v>
      </c>
      <c r="I53">
        <f>H53</f>
        <v>28.68678283042924</v>
      </c>
      <c r="J53">
        <f>$J$66/$I$66*I53</f>
        <v>1.465395885598972</v>
      </c>
      <c r="K53">
        <f>J53+I53</f>
        <v>30.152178716028214</v>
      </c>
      <c r="O53" s="9">
        <f>K53/$K$66*100</f>
        <v>0.16189282877978378</v>
      </c>
    </row>
    <row r="54" spans="2:15" ht="15">
      <c r="B54" t="s">
        <v>11</v>
      </c>
      <c r="C54">
        <f>'Table 1'!C56</f>
        <v>71</v>
      </c>
      <c r="D54">
        <f>$D$66/$C$66*C54</f>
        <v>14.387853277209866</v>
      </c>
      <c r="E54">
        <f>D54+C54</f>
        <v>85.38785327720987</v>
      </c>
      <c r="F54">
        <f>E54</f>
        <v>85.38785327720987</v>
      </c>
      <c r="G54">
        <f>$G$66/$F$66*F54</f>
        <v>5.334472771674402</v>
      </c>
      <c r="H54">
        <f>G54+F54</f>
        <v>90.72232604888427</v>
      </c>
      <c r="I54">
        <f>H54</f>
        <v>90.72232604888427</v>
      </c>
      <c r="J54">
        <f>$J$66/$I$66*I54</f>
        <v>4.634333661946372</v>
      </c>
      <c r="K54">
        <f>J54+I54</f>
        <v>95.35665971083064</v>
      </c>
      <c r="O54" s="9">
        <f>K54/$K$66*100</f>
        <v>0.5119881892770606</v>
      </c>
    </row>
    <row r="55" ht="15">
      <c r="O55" s="9"/>
    </row>
    <row r="56" spans="2:15" ht="15">
      <c r="B56" t="s">
        <v>174</v>
      </c>
      <c r="O56" s="9"/>
    </row>
    <row r="57" spans="2:15" ht="15">
      <c r="B57" t="s">
        <v>9</v>
      </c>
      <c r="I57">
        <f>'Table 1'!C59</f>
        <v>948.5</v>
      </c>
      <c r="J57">
        <f>$J$66/$I$66*I57</f>
        <v>48.45186041622875</v>
      </c>
      <c r="K57">
        <f>J57+I57</f>
        <v>996.9518604162288</v>
      </c>
      <c r="O57" s="9">
        <f>K57/$K$66*100</f>
        <v>5.35282568998091</v>
      </c>
    </row>
    <row r="58" spans="2:15" ht="15">
      <c r="B58" t="s">
        <v>10</v>
      </c>
      <c r="F58">
        <f>'Table 1'!C60</f>
        <v>2944.2</v>
      </c>
      <c r="G58">
        <f>$G$66/$F$66*F58</f>
        <v>183.93429664258414</v>
      </c>
      <c r="H58">
        <f>G58+F58</f>
        <v>3128.134296642584</v>
      </c>
      <c r="I58">
        <f>H58</f>
        <v>3128.134296642584</v>
      </c>
      <c r="J58">
        <f>$J$66/$I$66*I58</f>
        <v>159.79328023631456</v>
      </c>
      <c r="K58">
        <f>J58+I58</f>
        <v>3287.9275768788984</v>
      </c>
      <c r="O58" s="9">
        <f>K58/$K$66*100</f>
        <v>17.653513573831088</v>
      </c>
    </row>
    <row r="59" spans="2:15" ht="15">
      <c r="B59" t="s">
        <v>11</v>
      </c>
      <c r="C59">
        <f>'Table 1'!C61</f>
        <v>59.3</v>
      </c>
      <c r="D59">
        <f>$D$66/$C$66*C59</f>
        <v>12.016897173782324</v>
      </c>
      <c r="E59">
        <f>D59+C59</f>
        <v>71.31689717378232</v>
      </c>
      <c r="F59">
        <f>E59</f>
        <v>71.31689717378232</v>
      </c>
      <c r="G59">
        <f>$G$66/$F$66*F59</f>
        <v>4.4554117656379155</v>
      </c>
      <c r="H59">
        <f>G59+F59</f>
        <v>75.77230893942024</v>
      </c>
      <c r="I59">
        <f>H59</f>
        <v>75.77230893942024</v>
      </c>
      <c r="J59">
        <f>$J$66/$I$66*I59</f>
        <v>3.870647692301688</v>
      </c>
      <c r="K59">
        <f>J59+I59</f>
        <v>79.64295663172193</v>
      </c>
      <c r="O59" s="9">
        <f>K59/$K$66*100</f>
        <v>0.42761830456520694</v>
      </c>
    </row>
    <row r="60" ht="15">
      <c r="O60" s="9"/>
    </row>
    <row r="61" spans="2:15" ht="15">
      <c r="B61" t="s">
        <v>15</v>
      </c>
      <c r="O61" s="9"/>
    </row>
    <row r="62" spans="2:15" ht="15">
      <c r="B62" t="s">
        <v>9</v>
      </c>
      <c r="O62" s="9"/>
    </row>
    <row r="63" spans="2:15" ht="15">
      <c r="B63" t="s">
        <v>10</v>
      </c>
      <c r="O63" s="9"/>
    </row>
    <row r="64" spans="2:15" ht="15">
      <c r="B64" t="s">
        <v>11</v>
      </c>
      <c r="O64" s="9"/>
    </row>
    <row r="66" spans="2:15" ht="15">
      <c r="B66" s="11" t="s">
        <v>16</v>
      </c>
      <c r="C66" s="11">
        <f>SUM(C8:C65)</f>
        <v>1388.7</v>
      </c>
      <c r="D66" s="11">
        <f>'Table 2'!D19+'Table 2'!D20</f>
        <v>281.41425135297663</v>
      </c>
      <c r="E66" s="11">
        <f>D66+C66</f>
        <v>1670.1142513529767</v>
      </c>
      <c r="F66" s="11">
        <f>SUM(F8:F65)</f>
        <v>9255.114251352978</v>
      </c>
      <c r="G66">
        <f>'Table 2'!D14+'Table 2'!D15</f>
        <v>578.1988078830809</v>
      </c>
      <c r="H66" s="11">
        <f>G66+F66</f>
        <v>9833.313059236058</v>
      </c>
      <c r="I66" s="11">
        <f>SUM(I8:I65)</f>
        <v>17719.61305923606</v>
      </c>
      <c r="J66">
        <f>'Table 2'!D9+'Table 2'!D10</f>
        <v>905.1641735115336</v>
      </c>
      <c r="K66" s="11">
        <f>J66+I66</f>
        <v>18624.777232747594</v>
      </c>
      <c r="O66" s="131">
        <f>SUM(O8:O65)</f>
        <v>100</v>
      </c>
    </row>
    <row r="67" ht="12.75" customHeight="1"/>
    <row r="68" spans="2:23" ht="15">
      <c r="B68" t="s">
        <v>55</v>
      </c>
      <c r="D68" s="12">
        <f>'Table 2'!F20</f>
        <v>0.1685</v>
      </c>
      <c r="E68" s="12"/>
      <c r="F68" s="12"/>
      <c r="G68" s="12">
        <f>'Table 2'!F15</f>
        <v>0.0588</v>
      </c>
      <c r="H68" s="12"/>
      <c r="I68" s="12"/>
      <c r="J68" s="12">
        <f>'Table 2'!F10</f>
        <v>0.0486</v>
      </c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</row>
    <row r="71" spans="2:11" ht="15">
      <c r="B71" t="s">
        <v>56</v>
      </c>
      <c r="D71">
        <f aca="true" t="shared" si="0" ref="D71:K71">SUM(D8:D65)</f>
        <v>281.4142513529766</v>
      </c>
      <c r="E71">
        <f t="shared" si="0"/>
        <v>1670.1142513529765</v>
      </c>
      <c r="F71">
        <f t="shared" si="0"/>
        <v>9255.114251352978</v>
      </c>
      <c r="G71">
        <f t="shared" si="0"/>
        <v>578.1988078830809</v>
      </c>
      <c r="H71">
        <f t="shared" si="0"/>
        <v>9833.313059236058</v>
      </c>
      <c r="I71">
        <f t="shared" si="0"/>
        <v>17719.61305923606</v>
      </c>
      <c r="J71">
        <f t="shared" si="0"/>
        <v>905.1641735115335</v>
      </c>
      <c r="K71">
        <f t="shared" si="0"/>
        <v>18624.77723274759</v>
      </c>
    </row>
    <row r="72" spans="6:9" ht="15">
      <c r="F72">
        <f>F71-E71</f>
        <v>7585.000000000001</v>
      </c>
      <c r="I72">
        <f>I71-H71</f>
        <v>7886.300000000003</v>
      </c>
    </row>
  </sheetData>
  <sheetProtection/>
  <printOptions/>
  <pageMargins left="0.7875" right="0.5" top="0.7875" bottom="0.5" header="0.5" footer="0.5"/>
  <pageSetup fitToHeight="1" fitToWidth="1" horizontalDpi="360" verticalDpi="360" orientation="landscape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2"/>
  <sheetViews>
    <sheetView showOutlineSymbols="0" zoomScale="87" zoomScaleNormal="87" zoomScalePageLayoutView="0" workbookViewId="0" topLeftCell="A1">
      <selection activeCell="F1" sqref="F1"/>
    </sheetView>
  </sheetViews>
  <sheetFormatPr defaultColWidth="9.6640625" defaultRowHeight="15"/>
  <cols>
    <col min="1" max="1" width="1.66796875" style="0" customWidth="1"/>
    <col min="2" max="2" width="22.21484375" style="0" customWidth="1"/>
    <col min="3" max="5" width="9.6640625" style="0" customWidth="1"/>
    <col min="6" max="6" width="10.77734375" style="0" customWidth="1"/>
    <col min="7" max="8" width="9.6640625" style="0" customWidth="1"/>
    <col min="9" max="9" width="10.5546875" style="0" customWidth="1"/>
    <col min="10" max="11" width="9.6640625" style="0" customWidth="1"/>
    <col min="12" max="12" width="1.66796875" style="0" customWidth="1"/>
    <col min="13" max="15" width="9.6640625" style="0" customWidth="1"/>
    <col min="16" max="16" width="1.66796875" style="0" customWidth="1"/>
  </cols>
  <sheetData>
    <row r="1" ht="15.75">
      <c r="A1" s="2" t="s">
        <v>57</v>
      </c>
    </row>
    <row r="2" ht="15.75">
      <c r="A2" s="2" t="s">
        <v>58</v>
      </c>
    </row>
    <row r="3" ht="15.75">
      <c r="A3" s="2"/>
    </row>
    <row r="4" spans="1:11" ht="15.75">
      <c r="A4" s="2"/>
      <c r="C4" s="109"/>
      <c r="D4" s="109"/>
      <c r="E4" s="109"/>
      <c r="F4" s="109"/>
      <c r="G4" s="110" t="s">
        <v>33</v>
      </c>
      <c r="H4" s="109"/>
      <c r="I4" s="109"/>
      <c r="J4" s="109"/>
      <c r="K4" s="109"/>
    </row>
    <row r="5" spans="6:15" ht="15">
      <c r="F5" s="3" t="s">
        <v>43</v>
      </c>
      <c r="I5" s="3" t="s">
        <v>44</v>
      </c>
      <c r="M5" s="6" t="s">
        <v>45</v>
      </c>
      <c r="N5" s="6"/>
      <c r="O5" s="6"/>
    </row>
    <row r="6" spans="3:15" ht="15">
      <c r="C6" s="5" t="s">
        <v>46</v>
      </c>
      <c r="D6" s="5" t="s">
        <v>47</v>
      </c>
      <c r="E6" s="5" t="s">
        <v>48</v>
      </c>
      <c r="F6" s="5" t="s">
        <v>49</v>
      </c>
      <c r="G6" s="5" t="s">
        <v>50</v>
      </c>
      <c r="H6" s="5" t="s">
        <v>51</v>
      </c>
      <c r="I6" s="5" t="s">
        <v>52</v>
      </c>
      <c r="J6" s="5" t="s">
        <v>53</v>
      </c>
      <c r="K6" s="5" t="s">
        <v>54</v>
      </c>
      <c r="M6" s="16" t="s">
        <v>40</v>
      </c>
      <c r="N6" s="16" t="s">
        <v>39</v>
      </c>
      <c r="O6" s="16" t="s">
        <v>38</v>
      </c>
    </row>
    <row r="8" ht="15">
      <c r="B8" t="s">
        <v>8</v>
      </c>
    </row>
    <row r="9" spans="2:15" ht="15">
      <c r="B9" t="s">
        <v>9</v>
      </c>
      <c r="I9">
        <f>'Table 1'!G11</f>
        <v>707.0481661511268</v>
      </c>
      <c r="J9">
        <f>$J$66/$I$66*I9</f>
        <v>55.596870113489835</v>
      </c>
      <c r="K9">
        <f>J9+I9</f>
        <v>762.6450362646166</v>
      </c>
      <c r="O9" s="9">
        <f>K9/$K$66*100</f>
        <v>23.728863738927597</v>
      </c>
    </row>
    <row r="10" spans="2:15" ht="15">
      <c r="B10" t="s">
        <v>10</v>
      </c>
      <c r="F10">
        <f>'Table 1'!G12</f>
        <v>397.07787373436565</v>
      </c>
      <c r="G10">
        <f>$G$66/$F$66*F10</f>
        <v>35.014211543246326</v>
      </c>
      <c r="H10">
        <f>G10+F10</f>
        <v>432.092085277612</v>
      </c>
      <c r="I10">
        <f>H10</f>
        <v>432.092085277612</v>
      </c>
      <c r="J10">
        <f>$J$66/$I$66*I10</f>
        <v>33.976422954347385</v>
      </c>
      <c r="K10">
        <f>J10+I10</f>
        <v>466.0685082319594</v>
      </c>
      <c r="N10" s="20">
        <f>H10/$H$66*100</f>
        <v>23.394895778869646</v>
      </c>
      <c r="O10" s="9">
        <f>K10/$K$66*100</f>
        <v>14.50121039141486</v>
      </c>
    </row>
    <row r="11" spans="2:15" ht="15">
      <c r="B11" t="s">
        <v>11</v>
      </c>
      <c r="C11">
        <f>'Table 1'!G13</f>
        <v>22.68091125670042</v>
      </c>
      <c r="D11">
        <f>$D$66/$C$66*C11</f>
        <v>6.915319602582894</v>
      </c>
      <c r="E11">
        <f>D11+C11</f>
        <v>29.596230859283313</v>
      </c>
      <c r="F11">
        <f>E11</f>
        <v>29.596230859283313</v>
      </c>
      <c r="G11">
        <f>$G$66/$F$66*F11</f>
        <v>2.6097870386073185</v>
      </c>
      <c r="H11">
        <f>G11+F11</f>
        <v>32.20601789789063</v>
      </c>
      <c r="I11">
        <f>H11</f>
        <v>32.20601789789063</v>
      </c>
      <c r="J11">
        <f>$J$66/$I$66*I11</f>
        <v>2.5324353837006286</v>
      </c>
      <c r="K11">
        <f>J11+I11</f>
        <v>34.73845328159126</v>
      </c>
      <c r="M11" s="20">
        <f>E11/$E$66*100</f>
        <v>9.493363817885168</v>
      </c>
      <c r="N11" s="20">
        <f>H11/$H$66*100</f>
        <v>1.7437404151697862</v>
      </c>
      <c r="O11" s="9">
        <f>K11/$K$66*100</f>
        <v>1.080848868377045</v>
      </c>
    </row>
    <row r="13" spans="2:5" ht="15">
      <c r="B13" s="11" t="s">
        <v>12</v>
      </c>
      <c r="D13" s="11"/>
      <c r="E13" s="11"/>
    </row>
    <row r="14" spans="2:15" ht="15">
      <c r="B14" t="s">
        <v>9</v>
      </c>
      <c r="I14">
        <f>'Table 1'!G16</f>
        <v>2.2146118721461185</v>
      </c>
      <c r="J14">
        <f>$J$66/$I$66*I14</f>
        <v>0.17414017106888738</v>
      </c>
      <c r="K14">
        <f>J14+I14</f>
        <v>2.388752043215006</v>
      </c>
      <c r="N14" s="20"/>
      <c r="O14" s="9">
        <f>K14/$K$66*100</f>
        <v>0.07432339954267606</v>
      </c>
    </row>
    <row r="15" spans="2:15" ht="15">
      <c r="B15" t="s">
        <v>10</v>
      </c>
      <c r="F15">
        <f>'Table 1'!G17</f>
        <v>33.73287671232877</v>
      </c>
      <c r="G15">
        <f>$G$66/$F$66*F15</f>
        <v>2.974555268113154</v>
      </c>
      <c r="H15">
        <f>G15+F15</f>
        <v>36.707431980441925</v>
      </c>
      <c r="I15">
        <f>H15</f>
        <v>36.707431980441925</v>
      </c>
      <c r="J15">
        <f>$J$66/$I$66*I15</f>
        <v>2.886392222931219</v>
      </c>
      <c r="K15">
        <f>J15+I15</f>
        <v>39.593824203373146</v>
      </c>
      <c r="N15" s="20">
        <f>H15/$H$66*100</f>
        <v>1.9874618738749683</v>
      </c>
      <c r="O15" s="9">
        <f>K15/$K$66*100</f>
        <v>1.2319184086302881</v>
      </c>
    </row>
    <row r="16" spans="2:15" ht="15">
      <c r="B16" t="s">
        <v>11</v>
      </c>
      <c r="C16">
        <f>'Table 1'!G18</f>
        <v>14.39497716894977</v>
      </c>
      <c r="D16">
        <f>$D$66/$C$66*C16</f>
        <v>4.388971266124222</v>
      </c>
      <c r="E16">
        <f>D16+C16</f>
        <v>18.78394843507399</v>
      </c>
      <c r="F16">
        <f>E16</f>
        <v>18.78394843507399</v>
      </c>
      <c r="G16">
        <f>$G$66/$F$66*F16</f>
        <v>1.6563631157224803</v>
      </c>
      <c r="H16">
        <f>G16+F16</f>
        <v>20.440311550796473</v>
      </c>
      <c r="I16">
        <f>H16</f>
        <v>20.440311550796473</v>
      </c>
      <c r="J16">
        <f>$J$66/$I$66*I16</f>
        <v>1.6072700570812257</v>
      </c>
      <c r="K16">
        <f>J16+I16</f>
        <v>22.0475816078777</v>
      </c>
      <c r="M16" s="20">
        <f>E16/$E$66*100</f>
        <v>6.025188047707719</v>
      </c>
      <c r="N16" s="20">
        <f>H16/$H$66*100</f>
        <v>1.1067061274942676</v>
      </c>
      <c r="O16" s="9">
        <f>K16/$K$66*100</f>
        <v>0.6859863171845162</v>
      </c>
    </row>
    <row r="18" ht="15">
      <c r="B18" t="s">
        <v>163</v>
      </c>
    </row>
    <row r="19" spans="2:15" ht="15">
      <c r="B19" t="s">
        <v>9</v>
      </c>
      <c r="I19">
        <f>'Table 1'!G21</f>
        <v>139.76027397260276</v>
      </c>
      <c r="J19">
        <f>$J$66/$I$66*I19</f>
        <v>10.98968100204324</v>
      </c>
      <c r="K19">
        <f>J19+I19</f>
        <v>150.749954974646</v>
      </c>
      <c r="O19" s="9">
        <f>K19/$K$66*100</f>
        <v>4.690419487633933</v>
      </c>
    </row>
    <row r="20" spans="2:15" ht="15">
      <c r="B20" t="s">
        <v>10</v>
      </c>
      <c r="F20">
        <f>'Table 1'!G22</f>
        <v>51.678082191780824</v>
      </c>
      <c r="G20">
        <f>$G$66/$F$66*F20</f>
        <v>4.55695827368807</v>
      </c>
      <c r="H20">
        <f>G20+F20</f>
        <v>56.23504046546889</v>
      </c>
      <c r="I20">
        <f>H20</f>
        <v>56.23504046546889</v>
      </c>
      <c r="J20">
        <f>$J$66/$I$66*I20</f>
        <v>4.421894278581938</v>
      </c>
      <c r="K20">
        <f>J20+I20</f>
        <v>60.65693474405083</v>
      </c>
      <c r="N20" s="20">
        <f>H20/$H$66*100</f>
        <v>3.0447512362206366</v>
      </c>
      <c r="O20" s="9">
        <f>K20/$K$66*100</f>
        <v>1.8872739884498522</v>
      </c>
    </row>
    <row r="21" spans="13:15" ht="15">
      <c r="M21" s="20"/>
      <c r="N21" s="20"/>
      <c r="O21" s="9"/>
    </row>
    <row r="22" ht="15">
      <c r="B22" t="s">
        <v>164</v>
      </c>
    </row>
    <row r="23" spans="2:15" ht="15">
      <c r="B23" t="s">
        <v>9</v>
      </c>
      <c r="I23">
        <f>'Table 1'!G25</f>
        <v>25.684931506849317</v>
      </c>
      <c r="J23">
        <f>$J$66/$I$66*I23</f>
        <v>2.0196669324999825</v>
      </c>
      <c r="K23">
        <f>J23+I23</f>
        <v>27.7045984393493</v>
      </c>
      <c r="O23" s="9">
        <f>K23/$K$66*100</f>
        <v>0.8619981905722739</v>
      </c>
    </row>
    <row r="24" spans="2:15" ht="15">
      <c r="B24" t="s">
        <v>10</v>
      </c>
      <c r="F24">
        <f>'Table 1'!G26</f>
        <v>45.71917808219178</v>
      </c>
      <c r="G24">
        <f>$G$66/$F$66*F24</f>
        <v>4.0315038405391475</v>
      </c>
      <c r="H24">
        <f>G24+F24</f>
        <v>49.75068192273093</v>
      </c>
      <c r="I24">
        <f>H24</f>
        <v>49.75068192273093</v>
      </c>
      <c r="J24">
        <f>$J$66/$I$66*I24</f>
        <v>3.912013824987997</v>
      </c>
      <c r="K24">
        <f>J24+I24</f>
        <v>53.66269574771892</v>
      </c>
      <c r="N24" s="20">
        <f>H24/$H$66*100</f>
        <v>2.6936666006325707</v>
      </c>
      <c r="O24" s="9">
        <f>K24/$K$66*100</f>
        <v>1.6696559142349587</v>
      </c>
    </row>
    <row r="25" spans="14:15" ht="15">
      <c r="N25" s="20"/>
      <c r="O25" s="9"/>
    </row>
    <row r="26" spans="2:15" ht="15">
      <c r="B26" t="s">
        <v>13</v>
      </c>
      <c r="M26" s="20"/>
      <c r="N26" s="20"/>
      <c r="O26" s="9"/>
    </row>
    <row r="27" spans="2:15" ht="15">
      <c r="B27" t="s">
        <v>9</v>
      </c>
      <c r="I27">
        <f>'Table 1'!G29</f>
        <v>0.639269406392694</v>
      </c>
      <c r="J27">
        <f>$J$66/$I$66*I27</f>
        <v>0.05026726587555512</v>
      </c>
      <c r="K27">
        <f>J27+I27</f>
        <v>0.6895366722682491</v>
      </c>
      <c r="O27" s="9">
        <f>K27/$K$66*100</f>
        <v>0.021454177187576588</v>
      </c>
    </row>
    <row r="28" spans="2:15" ht="15">
      <c r="B28" t="s">
        <v>10</v>
      </c>
      <c r="F28">
        <f>'Table 1'!G30</f>
        <v>19.531963470319635</v>
      </c>
      <c r="G28">
        <f>$G$66/$F$66*F28</f>
        <v>1.7223228642103574</v>
      </c>
      <c r="H28">
        <f>G28+F28</f>
        <v>21.254286334529993</v>
      </c>
      <c r="I28">
        <f>H28</f>
        <v>21.254286334529993</v>
      </c>
      <c r="J28">
        <f>$J$66/$I$66*I28</f>
        <v>1.671274820113474</v>
      </c>
      <c r="K28">
        <f>J28+I28</f>
        <v>22.925561154643468</v>
      </c>
      <c r="N28" s="20">
        <f>H28/$H$66*100</f>
        <v>1.1507774166497702</v>
      </c>
      <c r="O28" s="9">
        <f>K28/$K$66*100</f>
        <v>0.7133036877043732</v>
      </c>
    </row>
    <row r="29" spans="2:15" ht="15">
      <c r="B29" t="s">
        <v>11</v>
      </c>
      <c r="C29">
        <f>'Table 1'!G31</f>
        <v>22.29452054794521</v>
      </c>
      <c r="D29">
        <f>$D$66/$C$66*C29</f>
        <v>6.797510612799848</v>
      </c>
      <c r="E29">
        <f>D29+C29</f>
        <v>29.09203116074506</v>
      </c>
      <c r="F29">
        <f>E29</f>
        <v>29.09203116074506</v>
      </c>
      <c r="G29">
        <f>$G$66/$F$66*F29</f>
        <v>2.5653268556748654</v>
      </c>
      <c r="H29">
        <f>G29+F29</f>
        <v>31.657358016419924</v>
      </c>
      <c r="I29">
        <f>H29</f>
        <v>31.657358016419924</v>
      </c>
      <c r="J29">
        <f>$J$66/$I$66*I29</f>
        <v>2.4892929591432473</v>
      </c>
      <c r="K29">
        <f>J29+I29</f>
        <v>34.14665097556317</v>
      </c>
      <c r="M29" s="20">
        <f>E29/$E$66*100</f>
        <v>9.33163541409451</v>
      </c>
      <c r="N29" s="20">
        <f>H29/$H$66*100</f>
        <v>1.7140341530502023</v>
      </c>
      <c r="O29" s="9">
        <f>K29/$K$66*100</f>
        <v>1.0624355887877561</v>
      </c>
    </row>
    <row r="30" spans="13:15" ht="15">
      <c r="M30" s="20"/>
      <c r="N30" s="20"/>
      <c r="O30" s="9"/>
    </row>
    <row r="31" ht="15">
      <c r="B31" t="s">
        <v>14</v>
      </c>
    </row>
    <row r="32" spans="2:15" ht="15">
      <c r="B32" t="s">
        <v>9</v>
      </c>
      <c r="D32" s="11"/>
      <c r="E32" s="11"/>
      <c r="I32">
        <f>'Table 1'!G34</f>
        <v>4.726027397260274</v>
      </c>
      <c r="J32">
        <f>$J$66/$I$66*I32</f>
        <v>0.37161871557999676</v>
      </c>
      <c r="K32">
        <f>J32+I32</f>
        <v>5.097646112840271</v>
      </c>
      <c r="M32" s="20"/>
      <c r="N32" s="20"/>
      <c r="O32" s="9">
        <f>K32/$K$66*100</f>
        <v>0.15860766706529839</v>
      </c>
    </row>
    <row r="33" spans="2:15" ht="15">
      <c r="B33" t="s">
        <v>10</v>
      </c>
      <c r="D33" s="11"/>
      <c r="E33" s="11"/>
      <c r="F33">
        <f>'Table 1'!G35</f>
        <v>29.029680365296805</v>
      </c>
      <c r="G33">
        <f>$G$66/$F$66*F33</f>
        <v>2.5598287806469546</v>
      </c>
      <c r="H33">
        <f>G33+F33</f>
        <v>31.589509145943758</v>
      </c>
      <c r="I33">
        <f>H33</f>
        <v>31.589509145943758</v>
      </c>
      <c r="J33">
        <f>$J$66/$I$66*I33</f>
        <v>2.483957841933702</v>
      </c>
      <c r="K33">
        <f>J33+I33</f>
        <v>34.07346698787746</v>
      </c>
      <c r="M33" s="20"/>
      <c r="N33" s="20">
        <f>H33/$H$66*100</f>
        <v>1.7103605906138897</v>
      </c>
      <c r="O33" s="9">
        <f>K33/$K$66*100</f>
        <v>1.0601585492882648</v>
      </c>
    </row>
    <row r="34" spans="2:15" ht="15">
      <c r="B34" t="s">
        <v>11</v>
      </c>
      <c r="C34">
        <f>'Table 1'!G36</f>
        <v>37.933789954337904</v>
      </c>
      <c r="D34">
        <f>$D$66/$C$66*C34</f>
        <v>11.565861631507369</v>
      </c>
      <c r="E34">
        <f>D34+C34</f>
        <v>49.49965158584527</v>
      </c>
      <c r="F34">
        <f>E34</f>
        <v>49.49965158584527</v>
      </c>
      <c r="G34">
        <f>$G$66/$F$66*F34</f>
        <v>4.364864895754007</v>
      </c>
      <c r="H34">
        <f>G34+F34</f>
        <v>53.86451648159928</v>
      </c>
      <c r="I34">
        <f>H34</f>
        <v>53.86451648159928</v>
      </c>
      <c r="J34">
        <f>$J$66/$I$66*I34</f>
        <v>4.235494369294936</v>
      </c>
      <c r="K34">
        <f>J34+I34</f>
        <v>58.100010850894215</v>
      </c>
      <c r="M34" s="20">
        <f>E34/$E$66*100</f>
        <v>15.877636703039455</v>
      </c>
      <c r="N34" s="20">
        <f>H34/$H$66*100</f>
        <v>2.9164032209860844</v>
      </c>
      <c r="O34" s="9">
        <f>K34/$K$66*100</f>
        <v>1.8077181062681584</v>
      </c>
    </row>
    <row r="35" spans="13:15" ht="15">
      <c r="M35" s="20"/>
      <c r="N35" s="20"/>
      <c r="O35" s="9"/>
    </row>
    <row r="36" ht="15">
      <c r="B36" s="107" t="s">
        <v>169</v>
      </c>
    </row>
    <row r="37" spans="2:15" ht="15">
      <c r="B37" t="s">
        <v>9</v>
      </c>
      <c r="D37" s="11"/>
      <c r="E37" s="11"/>
      <c r="I37">
        <f>'Table 1'!G39</f>
        <v>1.0273972602739727</v>
      </c>
      <c r="J37">
        <f>$J$66/$I$66*I37</f>
        <v>0.0807866772999993</v>
      </c>
      <c r="K37">
        <f>J37+I37</f>
        <v>1.108183937573972</v>
      </c>
      <c r="M37" s="20"/>
      <c r="N37" s="20"/>
      <c r="O37" s="9">
        <f>K37/$K$66*100</f>
        <v>0.034479927622890955</v>
      </c>
    </row>
    <row r="38" spans="2:15" ht="15">
      <c r="B38" t="s">
        <v>10</v>
      </c>
      <c r="D38" s="11"/>
      <c r="E38" s="11"/>
      <c r="F38">
        <f>'Table 1'!G40</f>
        <v>1.9263698630136987</v>
      </c>
      <c r="G38">
        <f>$G$66/$F$66*F38</f>
        <v>0.16986673485417758</v>
      </c>
      <c r="H38">
        <f>G38+F38</f>
        <v>2.0962365978678763</v>
      </c>
      <c r="I38">
        <f>H38</f>
        <v>2.0962365978678763</v>
      </c>
      <c r="J38">
        <f>$J$66/$I$66*I38</f>
        <v>0.1648320431876965</v>
      </c>
      <c r="K38">
        <f>J38+I38</f>
        <v>2.261068641055573</v>
      </c>
      <c r="M38" s="20"/>
      <c r="N38" s="20">
        <f>H38/$H$66*100</f>
        <v>0.11349718822890047</v>
      </c>
      <c r="O38" s="9">
        <f>K38/$K$66*100</f>
        <v>0.07035067054360783</v>
      </c>
    </row>
    <row r="39" spans="2:15" ht="15">
      <c r="B39" t="s">
        <v>11</v>
      </c>
      <c r="C39">
        <f>'Table 1'!G41</f>
        <v>24.01541095890411</v>
      </c>
      <c r="D39">
        <f>$D$66/$C$66*C39</f>
        <v>7.322203252267116</v>
      </c>
      <c r="E39">
        <f>D39+C39</f>
        <v>31.337614211171225</v>
      </c>
      <c r="F39">
        <f>E39</f>
        <v>31.337614211171225</v>
      </c>
      <c r="G39">
        <f>$G$66/$F$66*F39</f>
        <v>2.763341716654376</v>
      </c>
      <c r="H39">
        <f>G39+F39</f>
        <v>34.1009559278256</v>
      </c>
      <c r="I39">
        <f>H39</f>
        <v>34.1009559278256</v>
      </c>
      <c r="J39">
        <f>$J$66/$I$66*I39</f>
        <v>2.6814388442384054</v>
      </c>
      <c r="K39">
        <f>J39+I39</f>
        <v>36.78239477206401</v>
      </c>
      <c r="M39" s="20">
        <f>E39/$E$66*100</f>
        <v>10.051934461034984</v>
      </c>
      <c r="N39" s="20">
        <f>H39/$H$66*100</f>
        <v>1.8463386326059206</v>
      </c>
      <c r="O39" s="9">
        <f>K39/$K$66*100</f>
        <v>1.1444438658024791</v>
      </c>
    </row>
    <row r="40" spans="13:15" ht="15">
      <c r="M40" s="20"/>
      <c r="N40" s="20"/>
      <c r="O40" s="9"/>
    </row>
    <row r="41" spans="2:15" ht="15">
      <c r="B41" s="107" t="s">
        <v>170</v>
      </c>
      <c r="M41" s="20"/>
      <c r="N41" s="20"/>
      <c r="O41" s="9"/>
    </row>
    <row r="42" spans="2:15" ht="15">
      <c r="B42" t="s">
        <v>10</v>
      </c>
      <c r="F42">
        <f>'Table 1'!G44</f>
        <v>2.003424657534247</v>
      </c>
      <c r="G42">
        <f>$G$66/$F$66*F42</f>
        <v>0.1766614042483447</v>
      </c>
      <c r="H42">
        <f>G42+F42</f>
        <v>2.1800860617825917</v>
      </c>
      <c r="I42">
        <f>H42</f>
        <v>2.1800860617825917</v>
      </c>
      <c r="J42">
        <f>$J$66/$I$66*I42</f>
        <v>0.1714253249152044</v>
      </c>
      <c r="K42">
        <f>J42+I42</f>
        <v>2.351511386697796</v>
      </c>
      <c r="M42" s="20"/>
      <c r="N42" s="20">
        <f>H42/$H$66*100</f>
        <v>0.11803707575805651</v>
      </c>
      <c r="O42" s="9">
        <f>K42/$K$66*100</f>
        <v>0.07316469736535214</v>
      </c>
    </row>
    <row r="43" spans="2:15" ht="15">
      <c r="B43" t="s">
        <v>11</v>
      </c>
      <c r="C43">
        <f>'Table 1'!G45</f>
        <v>64.77739726027396</v>
      </c>
      <c r="D43">
        <f>$D$66/$C$66*C43</f>
        <v>19.750370697558996</v>
      </c>
      <c r="E43">
        <f>D43+C43</f>
        <v>84.52776795783295</v>
      </c>
      <c r="F43">
        <f>E43</f>
        <v>84.52776795783295</v>
      </c>
      <c r="G43">
        <f>$G$66/$F$66*F43</f>
        <v>7.45363402075116</v>
      </c>
      <c r="H43">
        <f>G43+F43</f>
        <v>91.9814019785841</v>
      </c>
      <c r="I43">
        <f>H43</f>
        <v>91.9814019785841</v>
      </c>
      <c r="J43">
        <f>$J$66/$I$66*I43</f>
        <v>7.2327152568655135</v>
      </c>
      <c r="K43">
        <f>J43+I43</f>
        <v>99.21411723544962</v>
      </c>
      <c r="M43" s="20">
        <f>E43/$E$66*100</f>
        <v>27.113346214684732</v>
      </c>
      <c r="N43" s="20">
        <f>H43/$H$66*100</f>
        <v>4.980177573724203</v>
      </c>
      <c r="O43" s="9">
        <f>K43/$K$66*100</f>
        <v>3.086938427330322</v>
      </c>
    </row>
    <row r="44" spans="14:15" ht="15">
      <c r="N44" s="20"/>
      <c r="O44" s="9"/>
    </row>
    <row r="45" spans="2:15" ht="15">
      <c r="B45" t="s">
        <v>171</v>
      </c>
      <c r="M45" s="20"/>
      <c r="N45" s="20"/>
      <c r="O45" s="9"/>
    </row>
    <row r="46" spans="2:15" ht="15">
      <c r="B46" s="107" t="s">
        <v>172</v>
      </c>
      <c r="M46" s="20"/>
      <c r="N46" s="20"/>
      <c r="O46" s="9"/>
    </row>
    <row r="47" spans="2:15" ht="15">
      <c r="B47" t="s">
        <v>9</v>
      </c>
      <c r="I47">
        <f>'Table 1'!G49</f>
        <v>2.671232876712329</v>
      </c>
      <c r="J47">
        <f>$J$66/$I$66*I47</f>
        <v>0.21004536097999818</v>
      </c>
      <c r="K47">
        <f>J47+I47</f>
        <v>2.881278237692327</v>
      </c>
      <c r="M47" s="20"/>
      <c r="N47" s="20"/>
      <c r="O47" s="9">
        <f>K47/$K$66*100</f>
        <v>0.08964781181951649</v>
      </c>
    </row>
    <row r="48" spans="2:15" ht="15">
      <c r="B48" t="s">
        <v>10</v>
      </c>
      <c r="F48">
        <f>'Table 1'!G50</f>
        <v>24.07045009784736</v>
      </c>
      <c r="G48">
        <f>$G$66/$F$66*F48</f>
        <v>2.1225252964636283</v>
      </c>
      <c r="H48">
        <f>G48+F48</f>
        <v>26.192975394310988</v>
      </c>
      <c r="I48">
        <f>H48</f>
        <v>26.192975394310988</v>
      </c>
      <c r="J48">
        <f>$J$66/$I$66*I48</f>
        <v>2.0596156253548363</v>
      </c>
      <c r="K48">
        <f>J48+I48</f>
        <v>28.252591019665825</v>
      </c>
      <c r="M48" s="20"/>
      <c r="N48" s="20">
        <f>H48/$H$66*100</f>
        <v>1.418174390060166</v>
      </c>
      <c r="O48" s="9">
        <f>K48/$K$66*100</f>
        <v>0.879048378602033</v>
      </c>
    </row>
    <row r="49" spans="2:15" ht="15">
      <c r="B49" t="s">
        <v>11</v>
      </c>
      <c r="C49">
        <f>'Table 1'!G51</f>
        <v>16.409001956947165</v>
      </c>
      <c r="D49">
        <f>$D$66/$C$66*C49</f>
        <v>5.003039410869143</v>
      </c>
      <c r="E49">
        <f>D49+C49</f>
        <v>21.412041367816308</v>
      </c>
      <c r="F49">
        <f>E49</f>
        <v>21.412041367816308</v>
      </c>
      <c r="G49">
        <f>$G$66/$F$66*F49</f>
        <v>1.8881075869944035</v>
      </c>
      <c r="H49">
        <f>G49+F49</f>
        <v>23.300148954810712</v>
      </c>
      <c r="I49">
        <f>H49</f>
        <v>23.300148954810712</v>
      </c>
      <c r="J49">
        <f>$J$66/$I$66*I49</f>
        <v>1.8321458382634301</v>
      </c>
      <c r="K49">
        <f>J49+I49</f>
        <v>25.13229479307414</v>
      </c>
      <c r="M49" s="20">
        <f>E49/$E$66*100</f>
        <v>6.868181957180817</v>
      </c>
      <c r="N49" s="20">
        <f>H49/$H$66*100</f>
        <v>1.2615471909875748</v>
      </c>
      <c r="O49" s="9">
        <f>K49/$K$66*100</f>
        <v>0.7819637842427328</v>
      </c>
    </row>
    <row r="50" spans="13:15" ht="15">
      <c r="M50" s="20"/>
      <c r="N50" s="20"/>
      <c r="O50" s="9"/>
    </row>
    <row r="51" spans="2:15" ht="15">
      <c r="B51" t="s">
        <v>171</v>
      </c>
      <c r="M51" s="20"/>
      <c r="N51" s="20"/>
      <c r="O51" s="9"/>
    </row>
    <row r="52" spans="2:15" ht="15">
      <c r="B52" s="107" t="s">
        <v>173</v>
      </c>
      <c r="M52" s="20"/>
      <c r="N52" s="20"/>
      <c r="O52" s="9"/>
    </row>
    <row r="53" spans="2:15" ht="15">
      <c r="B53" t="s">
        <v>10</v>
      </c>
      <c r="F53">
        <f>'Table 1'!G55</f>
        <v>7.925636007827791</v>
      </c>
      <c r="G53">
        <f>$G$66/$F$66*F53</f>
        <v>0.6988802805429022</v>
      </c>
      <c r="H53">
        <f>G53+F53</f>
        <v>8.624516288370693</v>
      </c>
      <c r="I53">
        <f>H53</f>
        <v>8.624516288370693</v>
      </c>
      <c r="J53">
        <f>$J$66/$I$66*I53</f>
        <v>0.6781661205436658</v>
      </c>
      <c r="K53">
        <f>J53+I53</f>
        <v>9.302682408914357</v>
      </c>
      <c r="M53" s="20"/>
      <c r="N53" s="20">
        <f>H53/$H$66*100</f>
        <v>0.466959860141762</v>
      </c>
      <c r="O53" s="9">
        <f>K53/$K$66*100</f>
        <v>0.2894427588079865</v>
      </c>
    </row>
    <row r="54" spans="2:15" ht="15">
      <c r="B54" t="s">
        <v>11</v>
      </c>
      <c r="C54">
        <f>'Table 1'!G56</f>
        <v>20.841487279843445</v>
      </c>
      <c r="D54">
        <f>$D$66/$C$66*C54</f>
        <v>6.3544865504778025</v>
      </c>
      <c r="E54">
        <f>D54+C54</f>
        <v>27.195973830321247</v>
      </c>
      <c r="F54">
        <f>E54</f>
        <v>27.195973830321247</v>
      </c>
      <c r="G54">
        <f>$G$66/$F$66*F54</f>
        <v>2.398133071137793</v>
      </c>
      <c r="H54">
        <f>G54+F54</f>
        <v>29.59410690145904</v>
      </c>
      <c r="I54">
        <f>H54</f>
        <v>29.59410690145904</v>
      </c>
      <c r="J54">
        <f>$J$66/$I$66*I54</f>
        <v>2.3270546425170573</v>
      </c>
      <c r="K54">
        <f>J54+I54</f>
        <v>31.921161543976098</v>
      </c>
      <c r="M54" s="20">
        <f>E54/$E$66*100</f>
        <v>8.72345114418315</v>
      </c>
      <c r="N54" s="20">
        <f>H54/$H$66*100</f>
        <v>1.6023229080521968</v>
      </c>
      <c r="O54" s="9">
        <f>K54/$K$66*100</f>
        <v>0.9931919263190345</v>
      </c>
    </row>
    <row r="55" spans="13:15" ht="15">
      <c r="M55" s="20"/>
      <c r="N55" s="20"/>
      <c r="O55" s="9"/>
    </row>
    <row r="56" spans="2:15" ht="15">
      <c r="B56" t="s">
        <v>174</v>
      </c>
      <c r="M56" s="20"/>
      <c r="N56" s="20"/>
      <c r="O56" s="9"/>
    </row>
    <row r="57" spans="2:15" ht="15">
      <c r="B57" t="s">
        <v>9</v>
      </c>
      <c r="I57">
        <f>'Table 1'!G59</f>
        <v>248.9745276877524</v>
      </c>
      <c r="J57">
        <f>$J$66/$I$66*I57</f>
        <v>19.577456162250723</v>
      </c>
      <c r="K57">
        <f>J57+I57</f>
        <v>268.5519838500031</v>
      </c>
      <c r="M57" s="20"/>
      <c r="N57" s="20"/>
      <c r="O57" s="9">
        <f>K57/$K$66*100</f>
        <v>8.355700396094038</v>
      </c>
    </row>
    <row r="58" spans="2:15" ht="15">
      <c r="B58" t="s">
        <v>10</v>
      </c>
      <c r="F58">
        <f>'Table 1'!G60</f>
        <v>772.8316335458942</v>
      </c>
      <c r="G58">
        <f>$G$66/$F$66*F58</f>
        <v>68.14806891605103</v>
      </c>
      <c r="H58">
        <f>G58+F58</f>
        <v>840.9797024619452</v>
      </c>
      <c r="I58">
        <f>H58</f>
        <v>840.9797024619452</v>
      </c>
      <c r="J58">
        <f>$J$66/$I$66*I58</f>
        <v>66.12822368294546</v>
      </c>
      <c r="K58">
        <f>J58+I58</f>
        <v>907.1079261448906</v>
      </c>
      <c r="M58" s="20"/>
      <c r="N58" s="20">
        <f>H58/$H$66*100</f>
        <v>45.53342484531135</v>
      </c>
      <c r="O58" s="9">
        <f>K58/$K$66*100</f>
        <v>28.22366809258935</v>
      </c>
    </row>
    <row r="59" spans="2:15" ht="15">
      <c r="B59" t="s">
        <v>11</v>
      </c>
      <c r="C59">
        <f>'Table 1'!G61</f>
        <v>15.56582972259749</v>
      </c>
      <c r="D59">
        <f>$D$66/$C$66*C59</f>
        <v>4.745959551309737</v>
      </c>
      <c r="E59">
        <f>D59+C59</f>
        <v>20.311789273907227</v>
      </c>
      <c r="F59">
        <f>E59</f>
        <v>20.311789273907227</v>
      </c>
      <c r="G59">
        <f>$G$66/$F$66*F59</f>
        <v>1.7910876770086759</v>
      </c>
      <c r="H59">
        <f>G59+F59</f>
        <v>22.102876950915903</v>
      </c>
      <c r="I59">
        <f>H59</f>
        <v>22.102876950915903</v>
      </c>
      <c r="J59">
        <f>$J$66/$I$66*I59</f>
        <v>1.7380015079649624</v>
      </c>
      <c r="K59">
        <f>J59+I59</f>
        <v>23.840878458880866</v>
      </c>
      <c r="M59" s="20">
        <f>E59/$E$66*100</f>
        <v>6.515262240189469</v>
      </c>
      <c r="N59" s="20">
        <f>H59/$H$66*100</f>
        <v>1.1967229215680564</v>
      </c>
      <c r="O59" s="9">
        <f>K59/$K$66*100</f>
        <v>0.7417827815912384</v>
      </c>
    </row>
    <row r="60" spans="13:15" ht="15">
      <c r="M60" s="20"/>
      <c r="N60" s="20"/>
      <c r="O60" s="9"/>
    </row>
    <row r="61" spans="2:15" ht="15">
      <c r="B61" t="s">
        <v>15</v>
      </c>
      <c r="M61" s="20"/>
      <c r="N61" s="20"/>
      <c r="O61" s="9"/>
    </row>
    <row r="62" spans="2:15" ht="15">
      <c r="B62" t="s">
        <v>9</v>
      </c>
      <c r="M62" s="20"/>
      <c r="N62" s="20"/>
      <c r="O62" s="9"/>
    </row>
    <row r="63" spans="2:15" ht="15">
      <c r="B63" t="s">
        <v>10</v>
      </c>
      <c r="M63" s="20"/>
      <c r="N63" s="20"/>
      <c r="O63" s="9"/>
    </row>
    <row r="64" spans="2:15" ht="15">
      <c r="B64" t="s">
        <v>11</v>
      </c>
      <c r="M64" s="20"/>
      <c r="N64" s="20"/>
      <c r="O64" s="9"/>
    </row>
    <row r="66" spans="2:15" ht="15">
      <c r="B66" s="11" t="s">
        <v>16</v>
      </c>
      <c r="C66" s="11">
        <f>SUM(C8:C65)</f>
        <v>238.91332610649948</v>
      </c>
      <c r="D66" s="11">
        <f>'Table 2'!D35</f>
        <v>72.84372257549713</v>
      </c>
      <c r="E66" s="11">
        <f>D66+C66</f>
        <v>311.7570486819966</v>
      </c>
      <c r="F66" s="11">
        <f>SUM(F8:F65)</f>
        <v>1697.284217410397</v>
      </c>
      <c r="G66">
        <f>'Table 2'!D31</f>
        <v>149.66602918090916</v>
      </c>
      <c r="H66" s="11">
        <f>G66+F66</f>
        <v>1846.9502465913063</v>
      </c>
      <c r="I66" s="11">
        <f>SUM(I8:I65)</f>
        <v>2979.696684722423</v>
      </c>
      <c r="J66">
        <f>'Table 2'!D27</f>
        <v>234.3006000000002</v>
      </c>
      <c r="K66" s="11">
        <f>J66+I66</f>
        <v>3213.997284722423</v>
      </c>
      <c r="M66" s="20">
        <f>SUM(M8:M65)</f>
        <v>100</v>
      </c>
      <c r="N66" s="20">
        <f>SUM(N8:N65)</f>
        <v>99.99999999999999</v>
      </c>
      <c r="O66" s="20">
        <f>SUM(O8:O65)</f>
        <v>100.00000000000003</v>
      </c>
    </row>
    <row r="68" spans="2:22" ht="15">
      <c r="B68" t="s">
        <v>55</v>
      </c>
      <c r="D68" s="12">
        <f>'Table 2'!F35</f>
        <v>0.23365541495679332</v>
      </c>
      <c r="E68" s="12"/>
      <c r="F68" s="12"/>
      <c r="G68" s="12">
        <f>'Table 2'!F31</f>
        <v>0.08103414234202017</v>
      </c>
      <c r="H68" s="12"/>
      <c r="I68" s="12"/>
      <c r="J68" s="12">
        <f>'Table 2'!F27</f>
        <v>0.07290006158802202</v>
      </c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</row>
    <row r="71" spans="2:11" ht="15">
      <c r="B71" t="s">
        <v>56</v>
      </c>
      <c r="D71">
        <f aca="true" t="shared" si="0" ref="D71:K71">SUM(D8:D65)</f>
        <v>72.84372257549714</v>
      </c>
      <c r="E71">
        <f t="shared" si="0"/>
        <v>311.75704868199654</v>
      </c>
      <c r="F71">
        <f t="shared" si="0"/>
        <v>1697.284217410397</v>
      </c>
      <c r="G71">
        <f t="shared" si="0"/>
        <v>149.6660291809092</v>
      </c>
      <c r="H71">
        <f t="shared" si="0"/>
        <v>1846.9502465913067</v>
      </c>
      <c r="I71">
        <f t="shared" si="0"/>
        <v>2979.696684722423</v>
      </c>
      <c r="J71">
        <f t="shared" si="0"/>
        <v>234.30060000000014</v>
      </c>
      <c r="K71">
        <f t="shared" si="0"/>
        <v>3213.9972847224235</v>
      </c>
    </row>
    <row r="72" spans="6:9" ht="15">
      <c r="F72">
        <f>F71-E71</f>
        <v>1385.5271687284005</v>
      </c>
      <c r="I72">
        <f>I71-H71</f>
        <v>1132.7464381311163</v>
      </c>
    </row>
  </sheetData>
  <sheetProtection/>
  <printOptions/>
  <pageMargins left="0.7875" right="0.5" top="0.7875" bottom="0.5" header="0.5" footer="0.5"/>
  <pageSetup fitToHeight="1" fitToWidth="1" horizontalDpi="360" verticalDpi="360" orientation="landscape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showOutlineSymbols="0" zoomScale="87" zoomScaleNormal="87" zoomScalePageLayoutView="0" workbookViewId="0" topLeftCell="A1">
      <selection activeCell="M16" sqref="M16"/>
    </sheetView>
  </sheetViews>
  <sheetFormatPr defaultColWidth="11.6640625" defaultRowHeight="15"/>
  <cols>
    <col min="1" max="1" width="1.66796875" style="21" customWidth="1"/>
    <col min="2" max="2" width="22.21484375" style="21" customWidth="1"/>
    <col min="3" max="3" width="11.6640625" style="21" customWidth="1"/>
    <col min="4" max="4" width="12.5546875" style="21" customWidth="1"/>
    <col min="5" max="5" width="11.6640625" style="21" customWidth="1"/>
    <col min="6" max="6" width="1.66796875" style="21" customWidth="1"/>
    <col min="7" max="9" width="11.6640625" style="21" customWidth="1"/>
    <col min="10" max="10" width="1.66796875" style="21" customWidth="1"/>
    <col min="11" max="16384" width="11.6640625" style="21" customWidth="1"/>
  </cols>
  <sheetData>
    <row r="1" ht="15.75">
      <c r="A1" s="22" t="s">
        <v>59</v>
      </c>
    </row>
    <row r="2" ht="15.75">
      <c r="A2" s="22" t="s">
        <v>60</v>
      </c>
    </row>
    <row r="3" ht="15.75">
      <c r="A3" s="22"/>
    </row>
    <row r="4" ht="15.75">
      <c r="A4" s="22"/>
    </row>
    <row r="5" spans="4:9" ht="15">
      <c r="D5" s="113" t="s">
        <v>151</v>
      </c>
      <c r="E5" s="23" t="s">
        <v>61</v>
      </c>
      <c r="G5" s="24" t="s">
        <v>45</v>
      </c>
      <c r="H5" s="24"/>
      <c r="I5" s="24"/>
    </row>
    <row r="6" spans="3:9" ht="15">
      <c r="C6" s="25" t="s">
        <v>62</v>
      </c>
      <c r="D6" s="25" t="s">
        <v>63</v>
      </c>
      <c r="E6" s="25" t="s">
        <v>64</v>
      </c>
      <c r="G6" s="26" t="s">
        <v>40</v>
      </c>
      <c r="H6" s="26" t="s">
        <v>39</v>
      </c>
      <c r="I6" s="26" t="s">
        <v>38</v>
      </c>
    </row>
    <row r="8" ht="15">
      <c r="B8" t="s">
        <v>8</v>
      </c>
    </row>
    <row r="9" spans="2:9" ht="15">
      <c r="B9" t="s">
        <v>9</v>
      </c>
      <c r="E9" s="21">
        <f>'Table 1'!H11</f>
        <v>75</v>
      </c>
      <c r="I9" s="27">
        <f>E9/$E$66*100</f>
        <v>0.0341312460180213</v>
      </c>
    </row>
    <row r="10" spans="2:9" ht="15">
      <c r="B10" t="s">
        <v>10</v>
      </c>
      <c r="D10" s="21">
        <f>'Table 1'!H12</f>
        <v>160</v>
      </c>
      <c r="E10" s="21">
        <f>'Table 1'!H12</f>
        <v>160</v>
      </c>
      <c r="H10" s="28">
        <f>D10/$D$66*100</f>
        <v>0.07286173574869988</v>
      </c>
      <c r="I10" s="27">
        <f>E10/$E$66*100</f>
        <v>0.07281332483844544</v>
      </c>
    </row>
    <row r="11" spans="2:9" ht="15">
      <c r="B11" t="s">
        <v>11</v>
      </c>
      <c r="C11" s="21">
        <f>'Table 1'!H13</f>
        <v>20</v>
      </c>
      <c r="D11" s="21">
        <f>'Table 1'!H13</f>
        <v>20</v>
      </c>
      <c r="E11" s="21">
        <f>'Table 1'!H13</f>
        <v>20</v>
      </c>
      <c r="G11" s="28">
        <f>C11/$C$66*100</f>
        <v>0.009188853920194804</v>
      </c>
      <c r="H11" s="28">
        <f>D11/$D$66*100</f>
        <v>0.009107716968587485</v>
      </c>
      <c r="I11" s="27">
        <f>E11/$E$66*100</f>
        <v>0.00910166560480568</v>
      </c>
    </row>
    <row r="12" ht="15">
      <c r="B12"/>
    </row>
    <row r="13" spans="2:3" ht="15">
      <c r="B13" s="11" t="s">
        <v>12</v>
      </c>
      <c r="C13" s="29"/>
    </row>
    <row r="14" spans="2:9" ht="15">
      <c r="B14" t="s">
        <v>9</v>
      </c>
      <c r="E14" s="21">
        <f>'Table 1'!H16</f>
        <v>5</v>
      </c>
      <c r="H14" s="28"/>
      <c r="I14" s="27">
        <f>E14/$E$66*100</f>
        <v>0.00227541640120142</v>
      </c>
    </row>
    <row r="15" spans="2:9" ht="15">
      <c r="B15" t="s">
        <v>10</v>
      </c>
      <c r="D15" s="21">
        <f>'Table 1'!H17</f>
        <v>310</v>
      </c>
      <c r="E15" s="21">
        <f>'Table 1'!H17</f>
        <v>310</v>
      </c>
      <c r="H15" s="28">
        <f>D15/$D$66*100</f>
        <v>0.14116961301310602</v>
      </c>
      <c r="I15" s="27">
        <f>E15/$E$66*100</f>
        <v>0.14107581687448803</v>
      </c>
    </row>
    <row r="16" spans="2:9" ht="15">
      <c r="B16" t="s">
        <v>11</v>
      </c>
      <c r="C16" s="21">
        <f>'Table 1'!H18</f>
        <v>260</v>
      </c>
      <c r="D16" s="21">
        <f>'Table 1'!H18</f>
        <v>260</v>
      </c>
      <c r="E16" s="21">
        <f>'Table 1'!H18</f>
        <v>260</v>
      </c>
      <c r="G16" s="28">
        <f>C16/$C$66*100</f>
        <v>0.11945510096253245</v>
      </c>
      <c r="H16" s="28">
        <f>D16/$D$66*100</f>
        <v>0.1184003205916373</v>
      </c>
      <c r="I16" s="27">
        <f>E16/$E$66*100</f>
        <v>0.11832165286247383</v>
      </c>
    </row>
    <row r="17" ht="15">
      <c r="B17"/>
    </row>
    <row r="18" ht="15">
      <c r="B18" t="s">
        <v>163</v>
      </c>
    </row>
    <row r="19" spans="2:9" ht="15">
      <c r="B19" t="s">
        <v>9</v>
      </c>
      <c r="E19" s="21">
        <f>'Table 1'!H21</f>
        <v>30</v>
      </c>
      <c r="H19" s="28">
        <f>D19/$D$66*100</f>
        <v>0</v>
      </c>
      <c r="I19" s="27">
        <f>E19/$E$66*100</f>
        <v>0.01365249840720852</v>
      </c>
    </row>
    <row r="20" spans="2:9" ht="15">
      <c r="B20" t="s">
        <v>10</v>
      </c>
      <c r="D20" s="21">
        <f>'Table 1'!H22</f>
        <v>5</v>
      </c>
      <c r="E20" s="21">
        <f>'Table 1'!H22</f>
        <v>5</v>
      </c>
      <c r="G20" s="28">
        <f>C20/$C$66*100</f>
        <v>0</v>
      </c>
      <c r="H20" s="28">
        <f>D20/$D$66*100</f>
        <v>0.002276929242146871</v>
      </c>
      <c r="I20" s="27">
        <f>E20/$E$66*100</f>
        <v>0.00227541640120142</v>
      </c>
    </row>
    <row r="21" spans="2:9" ht="15">
      <c r="B21"/>
      <c r="G21" s="28"/>
      <c r="H21" s="28"/>
      <c r="I21" s="27"/>
    </row>
    <row r="22" ht="15">
      <c r="B22" t="s">
        <v>164</v>
      </c>
    </row>
    <row r="23" spans="2:9" ht="15">
      <c r="B23" t="s">
        <v>9</v>
      </c>
      <c r="E23" s="21">
        <f>'Table 1'!H25</f>
        <v>2</v>
      </c>
      <c r="H23" s="28">
        <f>D23/$D$66*100</f>
        <v>0</v>
      </c>
      <c r="I23" s="27">
        <f>E23/$E$66*100</f>
        <v>0.0009101665604805679</v>
      </c>
    </row>
    <row r="24" spans="2:9" ht="15">
      <c r="B24" t="s">
        <v>10</v>
      </c>
      <c r="D24" s="21">
        <f>'Table 1'!H26</f>
        <v>4</v>
      </c>
      <c r="E24" s="21">
        <f>'Table 1'!H26</f>
        <v>4</v>
      </c>
      <c r="G24" s="28">
        <f>C24/$C$66*100</f>
        <v>0</v>
      </c>
      <c r="H24" s="28">
        <f>D24/$D$66*100</f>
        <v>0.0018215433937174969</v>
      </c>
      <c r="I24" s="27">
        <f>E24/$E$66*100</f>
        <v>0.0018203331209611358</v>
      </c>
    </row>
    <row r="25" spans="2:9" ht="15">
      <c r="B25"/>
      <c r="H25" s="28"/>
      <c r="I25" s="27"/>
    </row>
    <row r="26" spans="2:9" ht="15">
      <c r="B26" t="s">
        <v>13</v>
      </c>
      <c r="G26" s="28"/>
      <c r="H26" s="28"/>
      <c r="I26" s="27"/>
    </row>
    <row r="27" spans="2:9" ht="15">
      <c r="B27" t="s">
        <v>9</v>
      </c>
      <c r="E27" s="21">
        <f>'Table 1'!H29</f>
        <v>2</v>
      </c>
      <c r="I27" s="27">
        <f>E27/$E$66*100</f>
        <v>0.0009101665604805679</v>
      </c>
    </row>
    <row r="28" spans="2:9" ht="15">
      <c r="B28" t="s">
        <v>10</v>
      </c>
      <c r="D28" s="21">
        <f>'Table 1'!H30</f>
        <v>1000</v>
      </c>
      <c r="E28" s="21">
        <f>'Table 1'!H30</f>
        <v>1000</v>
      </c>
      <c r="H28" s="28">
        <f>D28/$D$66*100</f>
        <v>0.45538584842937424</v>
      </c>
      <c r="I28" s="27">
        <f>E28/$E$66*100</f>
        <v>0.455083280240284</v>
      </c>
    </row>
    <row r="29" spans="2:9" ht="15">
      <c r="B29" t="s">
        <v>11</v>
      </c>
      <c r="C29" s="21">
        <f>'Table 1'!H31</f>
        <v>1800</v>
      </c>
      <c r="D29" s="21">
        <f>'Table 1'!H31</f>
        <v>1800</v>
      </c>
      <c r="E29" s="21">
        <f>'Table 1'!H31</f>
        <v>1800</v>
      </c>
      <c r="G29" s="28">
        <f>C29/$C$66*100</f>
        <v>0.8269968528175323</v>
      </c>
      <c r="H29" s="28">
        <f>D29/$D$66*100</f>
        <v>0.8196945271728736</v>
      </c>
      <c r="I29" s="27">
        <f>E29/$E$66*100</f>
        <v>0.8191499044325111</v>
      </c>
    </row>
    <row r="30" spans="2:9" ht="15">
      <c r="B30"/>
      <c r="G30" s="28"/>
      <c r="H30" s="28"/>
      <c r="I30" s="27"/>
    </row>
    <row r="31" ht="15">
      <c r="B31" t="s">
        <v>14</v>
      </c>
    </row>
    <row r="32" spans="2:9" ht="15">
      <c r="B32" t="s">
        <v>9</v>
      </c>
      <c r="C32" s="29"/>
      <c r="E32" s="21">
        <f>'Table 1'!H34</f>
        <v>20</v>
      </c>
      <c r="H32" s="28"/>
      <c r="I32" s="27">
        <f>E32/$E$66*100</f>
        <v>0.00910166560480568</v>
      </c>
    </row>
    <row r="33" spans="2:9" ht="15">
      <c r="B33" t="s">
        <v>10</v>
      </c>
      <c r="C33" s="29"/>
      <c r="D33" s="21">
        <f>'Table 1'!H35</f>
        <v>280</v>
      </c>
      <c r="E33" s="21">
        <f>'Table 1'!H35</f>
        <v>280</v>
      </c>
      <c r="H33" s="28">
        <f>D33/$D$66*100</f>
        <v>0.12750803756022477</v>
      </c>
      <c r="I33" s="27">
        <f>E33/$E$66*100</f>
        <v>0.1274233184672795</v>
      </c>
    </row>
    <row r="34" spans="2:9" ht="15">
      <c r="B34" t="s">
        <v>11</v>
      </c>
      <c r="C34" s="21">
        <f>'Table 1'!H36</f>
        <v>560</v>
      </c>
      <c r="D34" s="21">
        <f>'Table 1'!H36</f>
        <v>560</v>
      </c>
      <c r="E34" s="21">
        <f>'Table 1'!H36</f>
        <v>560</v>
      </c>
      <c r="G34" s="28">
        <f>C34/$C$66*100</f>
        <v>0.2572879097654545</v>
      </c>
      <c r="H34" s="28">
        <f>D34/$D$66*100</f>
        <v>0.25501607512044955</v>
      </c>
      <c r="I34" s="27">
        <f>E34/$E$66*100</f>
        <v>0.254846636934559</v>
      </c>
    </row>
    <row r="35" spans="2:9" ht="15">
      <c r="B35"/>
      <c r="G35" s="28"/>
      <c r="H35" s="28"/>
      <c r="I35" s="27"/>
    </row>
    <row r="36" ht="15">
      <c r="B36" s="107" t="s">
        <v>169</v>
      </c>
    </row>
    <row r="37" spans="2:9" ht="15">
      <c r="B37" t="s">
        <v>9</v>
      </c>
      <c r="C37" s="29"/>
      <c r="E37" s="21">
        <f>'Table 1'!H39</f>
        <v>5</v>
      </c>
      <c r="H37" s="28"/>
      <c r="I37" s="27">
        <f>E37/$E$66*100</f>
        <v>0.00227541640120142</v>
      </c>
    </row>
    <row r="38" spans="2:9" ht="15">
      <c r="B38" t="s">
        <v>10</v>
      </c>
      <c r="C38" s="29"/>
      <c r="D38" s="21">
        <f>'Table 1'!H40</f>
        <v>20</v>
      </c>
      <c r="E38" s="21">
        <f>'Table 1'!H40</f>
        <v>20</v>
      </c>
      <c r="H38" s="28">
        <f>D38/$D$66*100</f>
        <v>0.009107716968587485</v>
      </c>
      <c r="I38" s="27">
        <f>E38/$E$66*100</f>
        <v>0.00910166560480568</v>
      </c>
    </row>
    <row r="39" spans="2:9" ht="15">
      <c r="B39" t="s">
        <v>11</v>
      </c>
      <c r="C39" s="21">
        <f>'Table 1'!H41</f>
        <v>50000</v>
      </c>
      <c r="D39" s="21">
        <f>'Table 1'!H41</f>
        <v>50000</v>
      </c>
      <c r="E39" s="21">
        <f>'Table 1'!H41</f>
        <v>50000</v>
      </c>
      <c r="G39" s="28">
        <f>C39/$C$66*100</f>
        <v>22.97213480048701</v>
      </c>
      <c r="H39" s="28">
        <f>D39/$D$66*100</f>
        <v>22.76929242146871</v>
      </c>
      <c r="I39" s="27">
        <f>E39/$E$66*100</f>
        <v>22.7541640120142</v>
      </c>
    </row>
    <row r="40" spans="2:9" ht="15">
      <c r="B40"/>
      <c r="G40" s="28"/>
      <c r="H40" s="28"/>
      <c r="I40" s="27"/>
    </row>
    <row r="41" spans="2:9" ht="15">
      <c r="B41" s="107" t="s">
        <v>170</v>
      </c>
      <c r="H41" s="28"/>
      <c r="I41" s="27"/>
    </row>
    <row r="42" spans="2:9" ht="15">
      <c r="B42" t="s">
        <v>10</v>
      </c>
      <c r="D42" s="21">
        <f>'Table 1'!H44</f>
        <v>20</v>
      </c>
      <c r="E42" s="21">
        <f>'Table 1'!H44</f>
        <v>20</v>
      </c>
      <c r="H42" s="28">
        <f>D42/$D$66*100</f>
        <v>0.009107716968587485</v>
      </c>
      <c r="I42" s="27">
        <f>E42/$E$66*100</f>
        <v>0.00910166560480568</v>
      </c>
    </row>
    <row r="43" spans="2:9" ht="15">
      <c r="B43" t="s">
        <v>11</v>
      </c>
      <c r="C43" s="21">
        <f>'Table 1'!H45</f>
        <v>130000</v>
      </c>
      <c r="D43" s="21">
        <f>'Table 1'!H45</f>
        <v>130000</v>
      </c>
      <c r="E43" s="21">
        <f>'Table 1'!H45</f>
        <v>130000</v>
      </c>
      <c r="G43" s="28">
        <f>C43/$C$66*100</f>
        <v>59.72755048126622</v>
      </c>
      <c r="H43" s="28">
        <f>D43/$D$66*100</f>
        <v>59.20016029581865</v>
      </c>
      <c r="I43" s="27">
        <f>E43/$E$66*100</f>
        <v>59.16082643123691</v>
      </c>
    </row>
    <row r="44" spans="2:9" ht="15">
      <c r="B44"/>
      <c r="G44" s="28"/>
      <c r="H44" s="28"/>
      <c r="I44" s="27"/>
    </row>
    <row r="45" spans="2:9" ht="15">
      <c r="B45" t="s">
        <v>171</v>
      </c>
      <c r="G45" s="28"/>
      <c r="H45" s="28"/>
      <c r="I45" s="27"/>
    </row>
    <row r="46" spans="2:9" ht="15">
      <c r="B46" s="107" t="s">
        <v>172</v>
      </c>
      <c r="G46" s="28"/>
      <c r="H46" s="28"/>
      <c r="I46" s="27"/>
    </row>
    <row r="47" spans="2:9" ht="15">
      <c r="B47" t="s">
        <v>9</v>
      </c>
      <c r="E47" s="21">
        <f>'Table 1'!H49</f>
        <v>5</v>
      </c>
      <c r="H47" s="28"/>
      <c r="I47" s="27">
        <f>E47/$E$66*100</f>
        <v>0.00227541640120142</v>
      </c>
    </row>
    <row r="48" spans="2:9" ht="15">
      <c r="B48" t="s">
        <v>10</v>
      </c>
      <c r="D48" s="21">
        <f>'Table 1'!H50</f>
        <v>100</v>
      </c>
      <c r="E48" s="21">
        <f>'Table 1'!H50</f>
        <v>100</v>
      </c>
      <c r="H48" s="28">
        <f>D48/$D$66*100</f>
        <v>0.04553858484293742</v>
      </c>
      <c r="I48" s="27">
        <f>E48/$E$66*100</f>
        <v>0.0455083280240284</v>
      </c>
    </row>
    <row r="49" spans="2:9" ht="15">
      <c r="B49" t="s">
        <v>11</v>
      </c>
      <c r="C49" s="21">
        <f>'Table 1'!H51</f>
        <v>15000</v>
      </c>
      <c r="D49" s="21">
        <f>'Table 1'!H51</f>
        <v>15000</v>
      </c>
      <c r="E49" s="21">
        <f>'Table 1'!H51</f>
        <v>15000</v>
      </c>
      <c r="G49" s="28">
        <f>C49/$C$66*100</f>
        <v>6.891640440146103</v>
      </c>
      <c r="H49" s="28">
        <f>D49/$D$66*100</f>
        <v>6.8307877264406125</v>
      </c>
      <c r="I49" s="27">
        <f>E49/$E$66*100</f>
        <v>6.8262492036042595</v>
      </c>
    </row>
    <row r="50" spans="2:9" ht="15">
      <c r="B50"/>
      <c r="G50" s="28"/>
      <c r="H50" s="28"/>
      <c r="I50" s="27"/>
    </row>
    <row r="51" spans="2:9" ht="15">
      <c r="B51" t="s">
        <v>171</v>
      </c>
      <c r="G51" s="28"/>
      <c r="H51" s="28"/>
      <c r="I51" s="27"/>
    </row>
    <row r="52" spans="2:9" ht="15">
      <c r="B52" s="107" t="s">
        <v>173</v>
      </c>
      <c r="H52" s="28"/>
      <c r="I52" s="27"/>
    </row>
    <row r="53" spans="2:9" ht="15">
      <c r="B53" t="s">
        <v>10</v>
      </c>
      <c r="D53" s="21">
        <f>'Table 1'!H55</f>
        <v>30</v>
      </c>
      <c r="E53" s="21">
        <f>'Table 1'!H55</f>
        <v>30</v>
      </c>
      <c r="H53" s="28">
        <f>D53/$D$66*100</f>
        <v>0.013661575452881226</v>
      </c>
      <c r="I53" s="27">
        <f>E53/$E$66*100</f>
        <v>0.01365249840720852</v>
      </c>
    </row>
    <row r="54" spans="2:9" ht="15">
      <c r="B54" t="s">
        <v>11</v>
      </c>
      <c r="C54" s="21">
        <f>'Table 1'!H56</f>
        <v>20000</v>
      </c>
      <c r="D54" s="21">
        <f>'Table 1'!H56</f>
        <v>20000</v>
      </c>
      <c r="E54" s="21">
        <f>'Table 1'!H56</f>
        <v>20000</v>
      </c>
      <c r="G54" s="28">
        <f>C54/$C$66*100</f>
        <v>9.188853920194804</v>
      </c>
      <c r="H54" s="28">
        <f>D54/$D$66*100</f>
        <v>9.107716968587484</v>
      </c>
      <c r="I54" s="27">
        <f>E54/$E$66*100</f>
        <v>9.10166560480568</v>
      </c>
    </row>
    <row r="55" spans="2:9" ht="15">
      <c r="B55"/>
      <c r="G55" s="28"/>
      <c r="H55" s="28"/>
      <c r="I55" s="27"/>
    </row>
    <row r="56" spans="2:9" ht="15">
      <c r="B56" t="s">
        <v>174</v>
      </c>
      <c r="G56" s="28"/>
      <c r="H56" s="28"/>
      <c r="I56" s="27"/>
    </row>
    <row r="57" spans="2:9" ht="15">
      <c r="B57" t="s">
        <v>9</v>
      </c>
      <c r="E57" s="21">
        <f>'Table 1'!H59</f>
        <v>2</v>
      </c>
      <c r="H57" s="28"/>
      <c r="I57" s="27">
        <f>E57/$E$66*100</f>
        <v>0.0009101665604805679</v>
      </c>
    </row>
    <row r="58" spans="2:9" ht="15">
      <c r="B58" t="s">
        <v>10</v>
      </c>
      <c r="D58" s="21">
        <f>'Table 1'!H60</f>
        <v>10</v>
      </c>
      <c r="E58" s="21">
        <f>'Table 1'!H60</f>
        <v>10</v>
      </c>
      <c r="H58" s="28">
        <f>D58/$D$66*100</f>
        <v>0.004553858484293742</v>
      </c>
      <c r="I58" s="27">
        <f>E58/$E$66*100</f>
        <v>0.00455083280240284</v>
      </c>
    </row>
    <row r="59" spans="2:9" ht="15">
      <c r="B59" t="s">
        <v>11</v>
      </c>
      <c r="C59" s="21">
        <f>'Table 1'!H61</f>
        <v>15</v>
      </c>
      <c r="D59" s="21">
        <f>'Table 1'!H61</f>
        <v>15</v>
      </c>
      <c r="E59" s="21">
        <f>'Table 1'!H61</f>
        <v>15</v>
      </c>
      <c r="G59" s="28">
        <f>C59/$C$66*100</f>
        <v>0.006891640440146103</v>
      </c>
      <c r="H59" s="28">
        <f>D59/$D$66*100</f>
        <v>0.006830787726440613</v>
      </c>
      <c r="I59" s="27">
        <f>E59/$E$66*100</f>
        <v>0.00682624920360426</v>
      </c>
    </row>
    <row r="60" spans="2:9" ht="15">
      <c r="B60"/>
      <c r="G60" s="28"/>
      <c r="H60" s="28"/>
      <c r="I60" s="27"/>
    </row>
    <row r="61" spans="2:9" ht="15">
      <c r="B61" t="s">
        <v>15</v>
      </c>
      <c r="G61" s="28"/>
      <c r="H61" s="28"/>
      <c r="I61" s="27"/>
    </row>
    <row r="62" spans="2:9" ht="15">
      <c r="B62" t="s">
        <v>9</v>
      </c>
      <c r="G62" s="28"/>
      <c r="H62" s="28"/>
      <c r="I62" s="27"/>
    </row>
    <row r="63" spans="2:9" ht="15">
      <c r="B63" t="s">
        <v>10</v>
      </c>
      <c r="G63" s="28"/>
      <c r="H63" s="28"/>
      <c r="I63" s="27"/>
    </row>
    <row r="64" spans="2:9" ht="15">
      <c r="B64" t="s">
        <v>11</v>
      </c>
      <c r="G64" s="28"/>
      <c r="H64" s="28"/>
      <c r="I64" s="27"/>
    </row>
    <row r="66" spans="2:9" ht="15">
      <c r="B66" s="29" t="s">
        <v>16</v>
      </c>
      <c r="C66" s="29">
        <f>SUM(C8:C65)</f>
        <v>217655</v>
      </c>
      <c r="D66" s="29">
        <f>SUM(D8:D65)</f>
        <v>219594</v>
      </c>
      <c r="E66" s="29">
        <f>SUM(E8:E65)</f>
        <v>219740</v>
      </c>
      <c r="G66" s="28">
        <f>SUM(G8:G65)</f>
        <v>100</v>
      </c>
      <c r="H66" s="28">
        <f>SUM(H8:H65)</f>
        <v>100.00000000000003</v>
      </c>
      <c r="I66" s="28">
        <f>SUM(I8:I65)</f>
        <v>100.00000000000001</v>
      </c>
    </row>
  </sheetData>
  <sheetProtection/>
  <printOptions/>
  <pageMargins left="0.7875" right="0.5" top="0.7875" bottom="0.5" header="0.5" footer="0.5"/>
  <pageSetup fitToHeight="1" fitToWidth="1" horizontalDpi="360" verticalDpi="360" orientation="portrait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"/>
  <sheetViews>
    <sheetView showOutlineSymbols="0" zoomScale="87" zoomScaleNormal="87" zoomScalePageLayoutView="0" workbookViewId="0" topLeftCell="A1">
      <selection activeCell="C70" sqref="C70"/>
    </sheetView>
  </sheetViews>
  <sheetFormatPr defaultColWidth="12.6640625" defaultRowHeight="15"/>
  <cols>
    <col min="1" max="1" width="1.66796875" style="30" customWidth="1"/>
    <col min="2" max="2" width="20.6640625" style="30" customWidth="1"/>
    <col min="3" max="10" width="12.6640625" style="30" customWidth="1"/>
    <col min="11" max="11" width="1.66796875" style="30" customWidth="1"/>
    <col min="12" max="16384" width="12.6640625" style="30" customWidth="1"/>
  </cols>
  <sheetData>
    <row r="1" ht="15.75">
      <c r="A1" s="31" t="s">
        <v>65</v>
      </c>
    </row>
    <row r="2" ht="15.75">
      <c r="A2" s="31" t="s">
        <v>215</v>
      </c>
    </row>
    <row r="3" ht="15.75">
      <c r="A3" s="31" t="s">
        <v>216</v>
      </c>
    </row>
    <row r="4" ht="15.75">
      <c r="A4" s="43" t="s">
        <v>69</v>
      </c>
    </row>
    <row r="5" ht="15.75">
      <c r="A5" s="31"/>
    </row>
    <row r="6" spans="3:10" ht="15">
      <c r="C6" s="121" t="s">
        <v>152</v>
      </c>
      <c r="D6" s="32" t="s">
        <v>66</v>
      </c>
      <c r="E6" s="33" t="s">
        <v>67</v>
      </c>
      <c r="F6" s="34"/>
      <c r="G6" s="34"/>
      <c r="H6" s="34"/>
      <c r="I6" s="33" t="s">
        <v>68</v>
      </c>
      <c r="J6" s="33"/>
    </row>
    <row r="7" spans="3:10" ht="15">
      <c r="C7" s="35" t="s">
        <v>69</v>
      </c>
      <c r="D7" s="35" t="s">
        <v>70</v>
      </c>
      <c r="E7" s="35" t="s">
        <v>38</v>
      </c>
      <c r="F7" s="35" t="s">
        <v>39</v>
      </c>
      <c r="G7" s="35" t="s">
        <v>40</v>
      </c>
      <c r="H7" s="35" t="s">
        <v>38</v>
      </c>
      <c r="I7" s="35" t="s">
        <v>39</v>
      </c>
      <c r="J7" s="35" t="s">
        <v>40</v>
      </c>
    </row>
    <row r="9" ht="15">
      <c r="B9" s="30" t="s">
        <v>71</v>
      </c>
    </row>
    <row r="10" spans="2:5" ht="15">
      <c r="B10" s="133" t="s">
        <v>217</v>
      </c>
      <c r="C10" s="133">
        <f>2404613*0.5</f>
        <v>1202306.5</v>
      </c>
      <c r="E10" s="30">
        <f>C10</f>
        <v>1202306.5</v>
      </c>
    </row>
    <row r="11" spans="2:4" ht="15">
      <c r="B11" s="30" t="s">
        <v>73</v>
      </c>
      <c r="C11" s="30">
        <v>1551091</v>
      </c>
      <c r="D11" s="30">
        <f>C11</f>
        <v>1551091</v>
      </c>
    </row>
    <row r="13" spans="2:4" ht="15">
      <c r="B13" s="133" t="s">
        <v>179</v>
      </c>
      <c r="C13" s="30">
        <v>1002990</v>
      </c>
      <c r="D13" s="30">
        <f>C13</f>
        <v>1002990</v>
      </c>
    </row>
    <row r="15" spans="2:5" ht="15">
      <c r="B15" s="133" t="s">
        <v>218</v>
      </c>
      <c r="C15" s="30">
        <f>2817296*0.5-C10</f>
        <v>206341.5</v>
      </c>
      <c r="E15" s="30">
        <f>C15</f>
        <v>206341.5</v>
      </c>
    </row>
    <row r="17" spans="2:9" ht="15">
      <c r="B17" s="36" t="s">
        <v>75</v>
      </c>
      <c r="C17" s="30">
        <f>667677*0.5</f>
        <v>333838.5</v>
      </c>
      <c r="F17" s="30">
        <f>0.7*C17</f>
        <v>233686.94999999998</v>
      </c>
      <c r="I17" s="30">
        <f>C17-F17</f>
        <v>100151.55000000002</v>
      </c>
    </row>
    <row r="19" spans="2:10" ht="15">
      <c r="B19" s="36" t="s">
        <v>76</v>
      </c>
      <c r="C19" s="30">
        <f>383874*0.5</f>
        <v>191937</v>
      </c>
      <c r="G19" s="30">
        <f>0.7*C19</f>
        <v>134355.9</v>
      </c>
      <c r="J19" s="30">
        <f>C19-G19</f>
        <v>57581.100000000006</v>
      </c>
    </row>
    <row r="21" ht="15">
      <c r="B21" s="36" t="s">
        <v>77</v>
      </c>
    </row>
    <row r="22" spans="2:8" ht="15">
      <c r="B22" s="133" t="s">
        <v>219</v>
      </c>
      <c r="C22" s="30">
        <f>(C27-SUM(C10:C19)-C25)/3</f>
        <v>456285.8333333333</v>
      </c>
      <c r="H22" s="30">
        <f>C22</f>
        <v>456285.8333333333</v>
      </c>
    </row>
    <row r="23" spans="2:10" ht="15">
      <c r="B23" s="30" t="s">
        <v>79</v>
      </c>
      <c r="C23" s="30">
        <f>2*C22</f>
        <v>912571.6666666666</v>
      </c>
      <c r="E23" s="30">
        <f>$C$23/(SUM($E$10:$J$19))*SUM(E10:E19)</f>
        <v>664535.0685135218</v>
      </c>
      <c r="F23" s="30">
        <f>$C$23/(SUM($E$10:$J$19))*SUM(F10:F19)</f>
        <v>110242.71026471193</v>
      </c>
      <c r="G23" s="30">
        <f>$C$23/(SUM($E$10:$J$19))*SUM(G10:G19)</f>
        <v>63382.90844248945</v>
      </c>
      <c r="I23" s="30">
        <f>$C$23/(SUM($E$10:$J$19))*SUM(I10:I19)</f>
        <v>47246.8758277337</v>
      </c>
      <c r="J23" s="30">
        <f>$C$23/(SUM($E$10:$J$19))*SUM(J10:J19)</f>
        <v>27164.10361820977</v>
      </c>
    </row>
    <row r="25" spans="2:10" ht="15">
      <c r="B25" s="30" t="s">
        <v>80</v>
      </c>
      <c r="C25" s="30">
        <v>565566</v>
      </c>
      <c r="E25" s="30">
        <f>E23/$C$23*$C$25</f>
        <v>411845.3972297173</v>
      </c>
      <c r="F25" s="30">
        <f>F23/$C$23*$C$25</f>
        <v>68322.88460293208</v>
      </c>
      <c r="G25" s="30">
        <f>G23/$C$23*$C$25</f>
        <v>39281.537336265814</v>
      </c>
      <c r="I25" s="30">
        <f>I23/$C$23*$C$25</f>
        <v>29281.236258399473</v>
      </c>
      <c r="J25" s="30">
        <f>J23/$C$23*$C$25</f>
        <v>16834.944572685352</v>
      </c>
    </row>
    <row r="27" spans="2:10" ht="15">
      <c r="B27" s="30" t="s">
        <v>35</v>
      </c>
      <c r="C27" s="30">
        <v>6422928</v>
      </c>
      <c r="D27" s="30">
        <f aca="true" t="shared" si="0" ref="D27:J27">SUM(D8:D26)</f>
        <v>2554081</v>
      </c>
      <c r="E27" s="30">
        <f t="shared" si="0"/>
        <v>2485028.465743239</v>
      </c>
      <c r="F27" s="30">
        <f t="shared" si="0"/>
        <v>412252.544867644</v>
      </c>
      <c r="G27" s="30">
        <f t="shared" si="0"/>
        <v>237020.34577875526</v>
      </c>
      <c r="H27" s="30">
        <f t="shared" si="0"/>
        <v>456285.8333333333</v>
      </c>
      <c r="I27" s="30">
        <f t="shared" si="0"/>
        <v>176679.66208613318</v>
      </c>
      <c r="J27" s="30">
        <f t="shared" si="0"/>
        <v>101580.14819089512</v>
      </c>
    </row>
    <row r="30" spans="2:3" ht="15">
      <c r="B30" s="35" t="s">
        <v>17</v>
      </c>
      <c r="C30" s="133" t="s">
        <v>220</v>
      </c>
    </row>
    <row r="31" ht="15">
      <c r="C31" s="155" t="s">
        <v>237</v>
      </c>
    </row>
    <row r="33" spans="2:3" ht="15">
      <c r="B33" s="134"/>
      <c r="C33" s="133" t="s">
        <v>221</v>
      </c>
    </row>
    <row r="34" ht="15">
      <c r="B34" s="134"/>
    </row>
    <row r="35" ht="15">
      <c r="C35" s="36" t="s">
        <v>222</v>
      </c>
    </row>
    <row r="36" ht="15">
      <c r="C36" s="36"/>
    </row>
    <row r="37" ht="15">
      <c r="C37" s="134">
        <v>0.5</v>
      </c>
    </row>
    <row r="39" spans="2:3" ht="15">
      <c r="B39" s="32" t="s">
        <v>81</v>
      </c>
      <c r="C39" s="30">
        <f>SUM(D23:K23)</f>
        <v>912571.6666666666</v>
      </c>
    </row>
    <row r="40" spans="2:3" ht="15">
      <c r="B40" s="32" t="s">
        <v>81</v>
      </c>
      <c r="C40" s="30">
        <f>SUM(D25:K25)</f>
        <v>565566</v>
      </c>
    </row>
    <row r="41" spans="2:3" ht="15">
      <c r="B41" s="32" t="s">
        <v>81</v>
      </c>
      <c r="C41" s="30">
        <f>SUM(D27:K27)</f>
        <v>6422927.999999999</v>
      </c>
    </row>
    <row r="43" spans="2:4" ht="15">
      <c r="B43" s="30" t="s">
        <v>82</v>
      </c>
      <c r="C43" s="37">
        <v>175</v>
      </c>
      <c r="D43" s="156" t="s">
        <v>238</v>
      </c>
    </row>
    <row r="44" spans="2:4" ht="15">
      <c r="B44" s="32" t="s">
        <v>83</v>
      </c>
      <c r="C44" s="30">
        <v>515000</v>
      </c>
      <c r="D44" s="30" t="s">
        <v>64</v>
      </c>
    </row>
    <row r="45" spans="2:4" ht="15">
      <c r="B45" s="32" t="s">
        <v>84</v>
      </c>
      <c r="C45" s="37">
        <f>C44*C43</f>
        <v>90125000</v>
      </c>
      <c r="D45" s="30" t="s">
        <v>85</v>
      </c>
    </row>
    <row r="46" spans="2:4" ht="15">
      <c r="B46" s="32" t="s">
        <v>84</v>
      </c>
      <c r="C46" s="30">
        <f>C45*26</f>
        <v>2343250000</v>
      </c>
      <c r="D46" s="30" t="s">
        <v>86</v>
      </c>
    </row>
    <row r="47" spans="2:4" ht="15">
      <c r="B47" s="32" t="s">
        <v>84</v>
      </c>
      <c r="C47" s="30">
        <f>PMT(0.15,20,-(C46))</f>
        <v>374361065.52825934</v>
      </c>
      <c r="D47" s="36" t="s">
        <v>87</v>
      </c>
    </row>
    <row r="48" spans="2:4" ht="15">
      <c r="B48" s="32" t="s">
        <v>84</v>
      </c>
      <c r="C48" s="30">
        <f>C47/12</f>
        <v>31196755.460688278</v>
      </c>
      <c r="D48" s="36" t="s">
        <v>88</v>
      </c>
    </row>
    <row r="49" spans="2:4" ht="15">
      <c r="B49" s="32" t="s">
        <v>84</v>
      </c>
      <c r="C49" s="30">
        <f>C48/C44</f>
        <v>60.57622419551122</v>
      </c>
      <c r="D49" s="36" t="s">
        <v>89</v>
      </c>
    </row>
    <row r="50" ht="15">
      <c r="D50" s="30" t="s">
        <v>90</v>
      </c>
    </row>
    <row r="52" spans="3:4" ht="15">
      <c r="C52" s="30">
        <f>J27*1000</f>
        <v>101580148.19089513</v>
      </c>
      <c r="D52" s="36" t="s">
        <v>91</v>
      </c>
    </row>
    <row r="53" spans="3:4" ht="15">
      <c r="C53" s="30">
        <f>C52/C44</f>
        <v>197.24300619591287</v>
      </c>
      <c r="D53" s="30" t="s">
        <v>92</v>
      </c>
    </row>
    <row r="54" spans="3:4" ht="15">
      <c r="C54" s="30">
        <f>C53/12</f>
        <v>16.43691718299274</v>
      </c>
      <c r="D54" s="36" t="s">
        <v>93</v>
      </c>
    </row>
    <row r="55" ht="15">
      <c r="D55" s="36"/>
    </row>
    <row r="57" ht="15">
      <c r="C57" s="156" t="s">
        <v>239</v>
      </c>
    </row>
    <row r="58" ht="15">
      <c r="C58" s="36" t="s">
        <v>94</v>
      </c>
    </row>
    <row r="59" ht="15">
      <c r="C59" s="36" t="s">
        <v>95</v>
      </c>
    </row>
    <row r="60" ht="15">
      <c r="C60" s="36" t="s">
        <v>96</v>
      </c>
    </row>
    <row r="61" ht="15">
      <c r="C61" s="30" t="s">
        <v>97</v>
      </c>
    </row>
    <row r="63" ht="15">
      <c r="C63" s="155" t="s">
        <v>240</v>
      </c>
    </row>
    <row r="64" ht="15">
      <c r="C64" s="36" t="s">
        <v>98</v>
      </c>
    </row>
    <row r="69" spans="4:6" ht="15">
      <c r="D69" s="33" t="s">
        <v>99</v>
      </c>
      <c r="E69" s="33"/>
      <c r="F69" s="35" t="s">
        <v>100</v>
      </c>
    </row>
    <row r="70" spans="3:5" ht="15">
      <c r="C70" s="35" t="s">
        <v>69</v>
      </c>
      <c r="D70" s="35" t="s">
        <v>101</v>
      </c>
      <c r="E70" s="35" t="s">
        <v>102</v>
      </c>
    </row>
    <row r="71" ht="15">
      <c r="B71" s="30" t="s">
        <v>71</v>
      </c>
    </row>
    <row r="72" spans="2:8" ht="15">
      <c r="B72" s="30" t="s">
        <v>72</v>
      </c>
      <c r="C72" s="30">
        <f>C10</f>
        <v>1202306.5</v>
      </c>
      <c r="D72" s="38">
        <f>C72/'Table 6'!C53/1000</f>
        <v>6.095559600251689</v>
      </c>
      <c r="E72" s="39">
        <f>D72/26</f>
        <v>0.23444460000968034</v>
      </c>
      <c r="F72" s="40">
        <f>E72/$E$87</f>
        <v>0.2218303050699104</v>
      </c>
      <c r="G72" s="40">
        <f>F72/SUM($F$72:$F$79)</f>
        <v>0.34494376655153786</v>
      </c>
      <c r="H72" s="40">
        <f>G72/(1-$G$73)</f>
        <v>0.62153220326366</v>
      </c>
    </row>
    <row r="73" spans="2:8" ht="15">
      <c r="B73" s="30" t="s">
        <v>73</v>
      </c>
      <c r="C73" s="30">
        <f>C11</f>
        <v>1551091</v>
      </c>
      <c r="D73" s="38">
        <f>C73/'Table 6'!C53/1000</f>
        <v>7.863858039454991</v>
      </c>
      <c r="E73" s="39">
        <f>D73/26</f>
        <v>0.3024560784405766</v>
      </c>
      <c r="F73" s="40">
        <f>E73/$E$87</f>
        <v>0.28618242496500884</v>
      </c>
      <c r="G73" s="40">
        <f>F73/SUM($F$72:$F$79)</f>
        <v>0.4450106289903543</v>
      </c>
      <c r="H73" s="41" t="s">
        <v>103</v>
      </c>
    </row>
    <row r="74" ht="15">
      <c r="H74" s="40"/>
    </row>
    <row r="75" spans="2:8" ht="15">
      <c r="B75" s="30" t="s">
        <v>74</v>
      </c>
      <c r="C75" s="30">
        <f>C15</f>
        <v>206341.5</v>
      </c>
      <c r="D75" s="38">
        <f>C75/'Table 6'!C53/1000</f>
        <v>1.046128346852765</v>
      </c>
      <c r="E75" s="39">
        <f>D75/26</f>
        <v>0.04023570564818327</v>
      </c>
      <c r="F75" s="40">
        <f>E75/$E$87</f>
        <v>0.038070822950373236</v>
      </c>
      <c r="G75" s="40">
        <f>F75/SUM($F$72:$F$79)</f>
        <v>0.05919972503342047</v>
      </c>
      <c r="H75" s="40">
        <f>G75/(1-$G$73)</f>
        <v>0.10666821406998006</v>
      </c>
    </row>
    <row r="76" ht="15">
      <c r="H76" s="40"/>
    </row>
    <row r="77" spans="2:8" ht="15">
      <c r="B77" s="30" t="s">
        <v>104</v>
      </c>
      <c r="C77" s="30">
        <f>C17</f>
        <v>333838.5</v>
      </c>
      <c r="D77" s="38">
        <f>C77/'Table 6'!C53/1000</f>
        <v>1.6925238893814707</v>
      </c>
      <c r="E77" s="39">
        <f>D77/26</f>
        <v>0.06509707266851811</v>
      </c>
      <c r="F77" s="40">
        <f>E77/$E$87</f>
        <v>0.06159452377499521</v>
      </c>
      <c r="G77" s="40">
        <f>F77/SUM($F$72:$F$79)</f>
        <v>0.09577882978251849</v>
      </c>
      <c r="H77" s="40">
        <f>G77/(1-$G$73)</f>
        <v>0.17257777317118</v>
      </c>
    </row>
    <row r="78" ht="15">
      <c r="H78" s="40"/>
    </row>
    <row r="79" spans="2:8" ht="15">
      <c r="B79" s="30" t="s">
        <v>105</v>
      </c>
      <c r="C79" s="30">
        <f>C19</f>
        <v>191937</v>
      </c>
      <c r="D79" s="38">
        <f>C79/'Table 6'!C53/1000</f>
        <v>0.973099141519661</v>
      </c>
      <c r="E79" s="39">
        <f>D79/26</f>
        <v>0.0374268900584485</v>
      </c>
      <c r="F79" s="40">
        <f>E79/$E$87</f>
        <v>0.03541313572221675</v>
      </c>
      <c r="G79" s="40">
        <f>F79/SUM($F$72:$F$79)</f>
        <v>0.05506704964216905</v>
      </c>
      <c r="H79" s="40">
        <f>G79/(1-$G$73)</f>
        <v>0.09922180949518039</v>
      </c>
    </row>
    <row r="80" spans="7:8" ht="15">
      <c r="G80" s="40">
        <f>SUM(G71:G79)</f>
        <v>1.0000000000000002</v>
      </c>
      <c r="H80" s="40">
        <f>SUM(H71:H79)</f>
        <v>1.0000000000000004</v>
      </c>
    </row>
    <row r="81" spans="2:8" ht="15">
      <c r="B81" s="30" t="s">
        <v>106</v>
      </c>
      <c r="H81" s="40"/>
    </row>
    <row r="82" spans="2:6" ht="15">
      <c r="B82" s="30" t="s">
        <v>78</v>
      </c>
      <c r="C82" s="30">
        <f>C22</f>
        <v>456285.8333333333</v>
      </c>
      <c r="D82" s="38">
        <f>C82/'Table 6'!C53/1000</f>
        <v>2.313318186197814</v>
      </c>
      <c r="E82" s="39">
        <f>D82/26</f>
        <v>0.0889737763922236</v>
      </c>
      <c r="F82" s="40">
        <f>E82/$E$87</f>
        <v>0.08418654112525517</v>
      </c>
    </row>
    <row r="83" spans="2:6" ht="15">
      <c r="B83" s="30" t="s">
        <v>79</v>
      </c>
      <c r="C83" s="30">
        <f>C23</f>
        <v>912571.6666666666</v>
      </c>
      <c r="D83" s="38">
        <f>C83/'Table 6'!C53/1000</f>
        <v>4.626636372395628</v>
      </c>
      <c r="E83" s="39">
        <f>D83/26</f>
        <v>0.1779475527844472</v>
      </c>
      <c r="F83" s="40">
        <f>E83/$E$87</f>
        <v>0.16837308225051034</v>
      </c>
    </row>
    <row r="85" spans="2:6" ht="15">
      <c r="B85" s="30" t="s">
        <v>80</v>
      </c>
      <c r="C85" s="30">
        <f>C25</f>
        <v>565566</v>
      </c>
      <c r="D85" s="38">
        <f>C85/'Table 6'!C53/1000</f>
        <v>2.8673564194121437</v>
      </c>
      <c r="E85" s="39">
        <f>D85/26</f>
        <v>0.11028293920815938</v>
      </c>
      <c r="F85" s="40">
        <f>E85/$E$87</f>
        <v>0.10434916414173004</v>
      </c>
    </row>
    <row r="87" spans="2:6" ht="15">
      <c r="B87" s="30" t="s">
        <v>35</v>
      </c>
      <c r="C87" s="30">
        <f>SUM(C70:C86)</f>
        <v>5419938</v>
      </c>
      <c r="D87" s="38">
        <f>C87/'Table 6'!C53/1000</f>
        <v>27.478479995466163</v>
      </c>
      <c r="E87" s="39">
        <f>D87/26</f>
        <v>1.056864615210237</v>
      </c>
      <c r="F87" s="40">
        <f>E87/$E$87</f>
        <v>1</v>
      </c>
    </row>
  </sheetData>
  <sheetProtection/>
  <printOptions/>
  <pageMargins left="0.7875" right="0.5" top="0.7875" bottom="0.5" header="0.5" footer="0.5"/>
  <pageSetup fitToHeight="1" fitToWidth="1" horizontalDpi="360" verticalDpi="360" orientation="landscape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showOutlineSymbols="0" zoomScale="87" zoomScaleNormal="87" zoomScalePageLayoutView="0" workbookViewId="0" topLeftCell="A1">
      <selection activeCell="A3" sqref="A3"/>
    </sheetView>
  </sheetViews>
  <sheetFormatPr defaultColWidth="12.6640625" defaultRowHeight="15"/>
  <cols>
    <col min="1" max="1" width="1.66796875" style="42" customWidth="1"/>
    <col min="2" max="2" width="22.21484375" style="42" customWidth="1"/>
    <col min="3" max="3" width="12.6640625" style="42" customWidth="1"/>
    <col min="4" max="4" width="1.77734375" style="42" customWidth="1"/>
    <col min="5" max="7" width="12.6640625" style="42" customWidth="1"/>
    <col min="8" max="8" width="1.77734375" style="42" customWidth="1"/>
    <col min="9" max="11" width="12.6640625" style="42" customWidth="1"/>
    <col min="12" max="12" width="1.66796875" style="42" customWidth="1"/>
    <col min="13" max="16384" width="12.6640625" style="42" customWidth="1"/>
  </cols>
  <sheetData>
    <row r="1" ht="15.75">
      <c r="A1" s="43" t="s">
        <v>107</v>
      </c>
    </row>
    <row r="2" ht="15.75">
      <c r="A2" s="43" t="s">
        <v>230</v>
      </c>
    </row>
    <row r="3" ht="15.75">
      <c r="A3" s="43" t="s">
        <v>207</v>
      </c>
    </row>
    <row r="4" ht="15.75">
      <c r="A4" s="43" t="s">
        <v>69</v>
      </c>
    </row>
    <row r="5" spans="1:13" ht="15.75">
      <c r="A5" s="43"/>
      <c r="M5" s="120"/>
    </row>
    <row r="6" spans="3:13" ht="15">
      <c r="C6" s="44" t="s">
        <v>66</v>
      </c>
      <c r="D6" s="44"/>
      <c r="E6" s="118"/>
      <c r="F6" s="116" t="s">
        <v>67</v>
      </c>
      <c r="G6" s="117"/>
      <c r="H6" s="115"/>
      <c r="I6" s="114"/>
      <c r="J6" s="116" t="s">
        <v>68</v>
      </c>
      <c r="K6" s="119"/>
      <c r="M6" s="124" t="s">
        <v>154</v>
      </c>
    </row>
    <row r="7" spans="3:13" ht="15">
      <c r="C7" s="45" t="s">
        <v>70</v>
      </c>
      <c r="D7" s="45"/>
      <c r="E7" s="45" t="s">
        <v>38</v>
      </c>
      <c r="F7" s="45" t="s">
        <v>39</v>
      </c>
      <c r="G7" s="45" t="s">
        <v>40</v>
      </c>
      <c r="H7" s="45"/>
      <c r="I7" s="45" t="s">
        <v>38</v>
      </c>
      <c r="J7" s="45" t="s">
        <v>39</v>
      </c>
      <c r="K7" s="45" t="s">
        <v>40</v>
      </c>
      <c r="M7" s="123" t="s">
        <v>153</v>
      </c>
    </row>
    <row r="9" ht="15">
      <c r="B9" t="s">
        <v>8</v>
      </c>
    </row>
    <row r="10" spans="2:13" ht="15">
      <c r="B10" t="s">
        <v>9</v>
      </c>
      <c r="C10" s="42">
        <f>'Table 3'!O9*$C$67/100</f>
        <v>922516.1498478424</v>
      </c>
      <c r="E10" s="42">
        <f>'Table 4'!O9*$E$67/100</f>
        <v>589669.0185097762</v>
      </c>
      <c r="I10" s="42">
        <f>'Table 5'!I9*$I$67/100</f>
        <v>155.7360403203786</v>
      </c>
      <c r="M10" s="42">
        <f>SUM(C10:K10)</f>
        <v>1512340.904397939</v>
      </c>
    </row>
    <row r="11" spans="2:13" ht="15">
      <c r="B11" t="s">
        <v>10</v>
      </c>
      <c r="C11" s="42">
        <f>'Table 3'!O10*$C$67/100</f>
        <v>544532.2744997446</v>
      </c>
      <c r="E11" s="42">
        <f>'Table 4'!O10*$E$67/100</f>
        <v>360359.2061039758</v>
      </c>
      <c r="F11" s="42">
        <f>'Table 4'!N10*$F$67/100</f>
        <v>96446.05321752315</v>
      </c>
      <c r="I11" s="42">
        <f>'Table 5'!I10*$I$67/100</f>
        <v>332.2368860168078</v>
      </c>
      <c r="J11" s="42">
        <f>'Table 5'!H10*$J$67/100</f>
        <v>128.73186851089423</v>
      </c>
      <c r="M11" s="42">
        <f>SUM(C11:K11)</f>
        <v>1001798.5025757714</v>
      </c>
    </row>
    <row r="12" spans="2:13" ht="15">
      <c r="B12" t="s">
        <v>11</v>
      </c>
      <c r="C12" s="42">
        <f>'Table 3'!O11*$C$67/100</f>
        <v>37406.423259352865</v>
      </c>
      <c r="E12" s="42">
        <f>'Table 4'!O11*$E$67/100</f>
        <v>26859.40205083324</v>
      </c>
      <c r="F12" s="42">
        <f>'Table 4'!N11*$F$67/100</f>
        <v>7188.614237423066</v>
      </c>
      <c r="G12" s="42">
        <f>'Table 4'!M11*$G$67/100</f>
        <v>22501.203747186664</v>
      </c>
      <c r="I12" s="42">
        <f>'Table 5'!I11*$I$67/100</f>
        <v>41.52961075210097</v>
      </c>
      <c r="J12" s="42">
        <f>'Table 5'!H11*$J$67/100</f>
        <v>16.09148356386178</v>
      </c>
      <c r="K12" s="42">
        <f>'Table 5'!G11*$K$67/100</f>
        <v>9.334051429178759</v>
      </c>
      <c r="M12" s="42">
        <f>SUM(C12:K12)</f>
        <v>94022.59844054098</v>
      </c>
    </row>
    <row r="13" ht="15">
      <c r="B13"/>
    </row>
    <row r="14" ht="15">
      <c r="B14" s="11" t="s">
        <v>12</v>
      </c>
    </row>
    <row r="15" spans="2:13" ht="15">
      <c r="B15" t="s">
        <v>9</v>
      </c>
      <c r="C15" s="42">
        <f>'Table 3'!O14*$C$67/100</f>
        <v>2796.2896951732982</v>
      </c>
      <c r="E15" s="42">
        <f>'Table 4'!O14*$E$67/100</f>
        <v>1846.9576353435803</v>
      </c>
      <c r="I15" s="42">
        <f>'Table 5'!I14*$I$67/100</f>
        <v>10.382402688025243</v>
      </c>
      <c r="M15" s="42">
        <f>SUM(C15:K15)</f>
        <v>4653.629733204904</v>
      </c>
    </row>
    <row r="16" spans="2:13" ht="15">
      <c r="B16" t="s">
        <v>10</v>
      </c>
      <c r="C16" s="42">
        <f>'Table 3'!O15*$C$67/100</f>
        <v>45253.898561373164</v>
      </c>
      <c r="E16" s="42">
        <f>'Table 4'!O15*$E$67/100</f>
        <v>30613.523129193774</v>
      </c>
      <c r="F16" s="42">
        <f>'Table 4'!N15*$F$67/100</f>
        <v>8193.362153323722</v>
      </c>
      <c r="I16" s="42">
        <f>'Table 5'!I15*$I$67/100</f>
        <v>643.7089666575649</v>
      </c>
      <c r="J16" s="42">
        <f>'Table 5'!H15*$J$67/100</f>
        <v>249.4179952398576</v>
      </c>
      <c r="M16" s="42">
        <f>SUM(C16:K16)</f>
        <v>84953.91080578807</v>
      </c>
    </row>
    <row r="17" spans="2:13" ht="15">
      <c r="B17" t="s">
        <v>11</v>
      </c>
      <c r="C17" s="42">
        <f>'Table 3'!O16*$C$67/100</f>
        <v>23224.765992143755</v>
      </c>
      <c r="E17" s="42">
        <f>'Table 4'!O16*$E$67/100</f>
        <v>17046.95525313893</v>
      </c>
      <c r="F17" s="42">
        <f>'Table 4'!N16*$F$67/100</f>
        <v>4562.424174801271</v>
      </c>
      <c r="G17" s="42">
        <f>'Table 4'!M16*$G$67/100</f>
        <v>14280.921544497069</v>
      </c>
      <c r="I17" s="42">
        <f>'Table 5'!I16*$I$67/100</f>
        <v>539.8849397773125</v>
      </c>
      <c r="J17" s="42">
        <f>'Table 5'!H16*$J$67/100</f>
        <v>209.18928633020315</v>
      </c>
      <c r="K17" s="42">
        <f>'Table 5'!G16*$K$67/100</f>
        <v>121.34266857932386</v>
      </c>
      <c r="M17" s="42">
        <f>SUM(C17:K17)</f>
        <v>59985.48385926787</v>
      </c>
    </row>
    <row r="18" ht="15">
      <c r="B18"/>
    </row>
    <row r="19" ht="15">
      <c r="B19" t="s">
        <v>163</v>
      </c>
    </row>
    <row r="20" spans="2:13" ht="15">
      <c r="B20" t="s">
        <v>9</v>
      </c>
      <c r="C20" s="42">
        <f>'Table 3'!O19*$C$67/100</f>
        <v>58822.980649496036</v>
      </c>
      <c r="E20" s="42">
        <f>'Table 4'!O19*$E$67/100</f>
        <v>116558.25943047141</v>
      </c>
      <c r="I20" s="42">
        <f>'Table 5'!I19*$I$67/100</f>
        <v>62.294416128151454</v>
      </c>
      <c r="M20" s="42">
        <f>SUM(C20:K20)</f>
        <v>175443.5344960956</v>
      </c>
    </row>
    <row r="21" spans="2:13" ht="15">
      <c r="B21" t="s">
        <v>10</v>
      </c>
      <c r="C21" s="42">
        <f>'Table 3'!O20*$C$67/100</f>
        <v>23109.351245046397</v>
      </c>
      <c r="E21" s="42">
        <f>'Table 4'!O20*$E$67/100</f>
        <v>46899.29583954659</v>
      </c>
      <c r="F21" s="42">
        <f>'Table 4'!N20*$F$67/100</f>
        <v>12552.064456208625</v>
      </c>
      <c r="I21" s="42">
        <f>'Table 5'!I20*$I$67/100</f>
        <v>10.382402688025243</v>
      </c>
      <c r="J21" s="42">
        <f>'Table 5'!H20*$J$67/100</f>
        <v>4.022870890965445</v>
      </c>
      <c r="M21" s="42">
        <f>SUM(C21:K21)</f>
        <v>82575.11681438061</v>
      </c>
    </row>
    <row r="22" ht="15">
      <c r="B22"/>
    </row>
    <row r="23" ht="15">
      <c r="B23" t="s">
        <v>164</v>
      </c>
    </row>
    <row r="24" spans="2:13" ht="15">
      <c r="B24" t="s">
        <v>9</v>
      </c>
      <c r="C24" s="42">
        <f>'Table 3'!O23*$C$67/100</f>
        <v>7206.932204054892</v>
      </c>
      <c r="E24" s="42">
        <f>'Table 4'!O23*$E$67/100</f>
        <v>21420.900409912658</v>
      </c>
      <c r="I24" s="42">
        <f>'Table 5'!I23*$I$67/100</f>
        <v>4.152961075210096</v>
      </c>
      <c r="M24" s="42">
        <f>SUM(C24:K24)</f>
        <v>28631.98557504276</v>
      </c>
    </row>
    <row r="25" spans="2:13" ht="15">
      <c r="B25" t="s">
        <v>10</v>
      </c>
      <c r="C25" s="42">
        <f>'Table 3'!O24*$C$67/100</f>
        <v>13629.769786674153</v>
      </c>
      <c r="E25" s="42">
        <f>'Table 4'!O24*$E$67/100</f>
        <v>41491.424748704245</v>
      </c>
      <c r="F25" s="42">
        <f>'Table 4'!N24*$F$67/100</f>
        <v>11104.70911135753</v>
      </c>
      <c r="I25" s="42">
        <f>'Table 5'!I24*$I$67/100</f>
        <v>8.305922150420193</v>
      </c>
      <c r="J25" s="42">
        <f>'Table 5'!H24*$J$67/100</f>
        <v>3.218296712772356</v>
      </c>
      <c r="M25" s="42">
        <f>SUM(C25:K25)</f>
        <v>66237.42786559912</v>
      </c>
    </row>
    <row r="26" ht="15">
      <c r="B26"/>
    </row>
    <row r="27" ht="15">
      <c r="B27" t="s">
        <v>13</v>
      </c>
    </row>
    <row r="28" spans="2:13" ht="15">
      <c r="B28" t="s">
        <v>9</v>
      </c>
      <c r="C28" s="42">
        <f>'Table 3'!O27*$C$67/100</f>
        <v>807.1764068541478</v>
      </c>
      <c r="E28" s="42">
        <f>'Table 4'!O27*$E$67/100</f>
        <v>533.1424102022705</v>
      </c>
      <c r="I28" s="42">
        <f>'Table 5'!I27*$I$67/100</f>
        <v>4.152961075210096</v>
      </c>
      <c r="M28" s="42">
        <f>SUM(C28:K28)</f>
        <v>1344.4717781316283</v>
      </c>
    </row>
    <row r="29" spans="2:13" ht="15">
      <c r="B29" t="s">
        <v>10</v>
      </c>
      <c r="C29" s="42">
        <f>'Table 3'!O28*$C$67/100</f>
        <v>26202.84955617918</v>
      </c>
      <c r="E29" s="42">
        <f>'Table 4'!O28*$E$67/100</f>
        <v>17725.79968664993</v>
      </c>
      <c r="F29" s="42">
        <f>'Table 4'!N28*$F$67/100</f>
        <v>4744.109185900808</v>
      </c>
      <c r="I29" s="42">
        <f>'Table 5'!I28*$I$67/100</f>
        <v>2076.4805376050485</v>
      </c>
      <c r="J29" s="42">
        <f>'Table 5'!H28*$J$67/100</f>
        <v>804.574178193089</v>
      </c>
      <c r="M29" s="42">
        <f>SUM(C29:K29)</f>
        <v>51553.81314452806</v>
      </c>
    </row>
    <row r="30" spans="2:13" ht="15">
      <c r="B30" t="s">
        <v>11</v>
      </c>
      <c r="C30" s="42">
        <f>'Table 3'!O29*$C$67/100</f>
        <v>35969.8397959213</v>
      </c>
      <c r="E30" s="42">
        <f>'Table 4'!O29*$E$67/100</f>
        <v>26401.826811562525</v>
      </c>
      <c r="F30" s="42">
        <f>'Table 4'!N29*$F$67/100</f>
        <v>7066.149415850028</v>
      </c>
      <c r="G30" s="42">
        <f>'Table 4'!M29*$G$67/100</f>
        <v>22117.87452529959</v>
      </c>
      <c r="I30" s="42">
        <f>'Table 5'!I29*$I$67/100</f>
        <v>3737.664967689087</v>
      </c>
      <c r="J30" s="42">
        <f>'Table 5'!H29*$J$67/100</f>
        <v>1448.2335207475603</v>
      </c>
      <c r="K30" s="42">
        <f>'Table 5'!G29*$K$67/100</f>
        <v>840.0646286260883</v>
      </c>
      <c r="M30" s="42">
        <f>SUM(C30:K30)</f>
        <v>97581.65366569617</v>
      </c>
    </row>
    <row r="31" ht="15">
      <c r="B31"/>
    </row>
    <row r="32" ht="15">
      <c r="B32" t="s">
        <v>14</v>
      </c>
    </row>
    <row r="33" spans="2:13" ht="15">
      <c r="B33" t="s">
        <v>9</v>
      </c>
      <c r="C33" s="42">
        <f>'Table 3'!O32*$C$67/100</f>
        <v>5967.33986495745</v>
      </c>
      <c r="E33" s="42">
        <f>'Table 4'!O32*$E$67/100</f>
        <v>3941.4456754239295</v>
      </c>
      <c r="I33" s="42">
        <f>'Table 5'!I32*$I$67/100</f>
        <v>41.52961075210097</v>
      </c>
      <c r="M33" s="42">
        <f>SUM(C33:K33)</f>
        <v>9950.31515113348</v>
      </c>
    </row>
    <row r="34" spans="2:13" ht="15">
      <c r="B34" t="s">
        <v>10</v>
      </c>
      <c r="C34" s="42">
        <f>'Table 3'!O33*$C$67/100</f>
        <v>38944.38715450829</v>
      </c>
      <c r="E34" s="42">
        <f>'Table 4'!O33*$E$67/100</f>
        <v>26345.24173182395</v>
      </c>
      <c r="F34" s="42">
        <f>'Table 4'!N33*$F$67/100</f>
        <v>7051.005061219027</v>
      </c>
      <c r="I34" s="42">
        <f>'Table 5'!I33*$I$67/100</f>
        <v>581.4145505294134</v>
      </c>
      <c r="J34" s="42">
        <f>'Table 5'!H33*$J$67/100</f>
        <v>225.28076989406492</v>
      </c>
      <c r="M34" s="42">
        <f>SUM(C34:K34)</f>
        <v>73147.32926797474</v>
      </c>
    </row>
    <row r="35" spans="2:13" ht="15">
      <c r="B35" t="s">
        <v>11</v>
      </c>
      <c r="C35" s="42">
        <f>'Table 3'!O34*$C$67/100</f>
        <v>61202.13908952712</v>
      </c>
      <c r="E35" s="42">
        <f>'Table 4'!O34*$E$67/100</f>
        <v>44922.30952115836</v>
      </c>
      <c r="F35" s="42">
        <f>'Table 4'!N34*$F$67/100</f>
        <v>12022.946497117075</v>
      </c>
      <c r="G35" s="42">
        <f>'Table 4'!M34*$G$67/100</f>
        <v>37633.22941503867</v>
      </c>
      <c r="I35" s="42">
        <f>'Table 5'!I34*$I$67/100</f>
        <v>1162.8291010588268</v>
      </c>
      <c r="J35" s="42">
        <f>'Table 5'!H34*$J$67/100</f>
        <v>450.56153978812983</v>
      </c>
      <c r="K35" s="42">
        <f>'Table 5'!G34*$K$67/100</f>
        <v>261.35344001700525</v>
      </c>
      <c r="M35" s="42">
        <f>SUM(C35:K35)</f>
        <v>157655.3686037052</v>
      </c>
    </row>
    <row r="36" ht="15">
      <c r="B36"/>
    </row>
    <row r="37" ht="15">
      <c r="B37" s="107" t="s">
        <v>169</v>
      </c>
    </row>
    <row r="38" spans="2:13" ht="15">
      <c r="B38" t="s">
        <v>9</v>
      </c>
      <c r="C38" s="42">
        <f>'Table 3'!O37*$C$67/100</f>
        <v>576.5545763243914</v>
      </c>
      <c r="E38" s="42">
        <f>'Table 4'!O37*$E$67/100</f>
        <v>856.8360163965064</v>
      </c>
      <c r="I38" s="42">
        <f>'Table 5'!I37*$I$67/100</f>
        <v>10.382402688025243</v>
      </c>
      <c r="M38" s="42">
        <f>SUM(C38:K38)</f>
        <v>1443.772995408923</v>
      </c>
    </row>
    <row r="39" spans="2:13" ht="15">
      <c r="B39" t="s">
        <v>10</v>
      </c>
      <c r="C39" s="42">
        <f>'Table 3'!O38*$C$67/100</f>
        <v>1148.5761056186084</v>
      </c>
      <c r="E39" s="42">
        <f>'Table 4'!O38*$E$67/100</f>
        <v>1748.2341888498984</v>
      </c>
      <c r="F39" s="42">
        <f>'Table 4'!N38*$F$67/100</f>
        <v>467.8950468268623</v>
      </c>
      <c r="I39" s="42">
        <f>'Table 5'!I38*$I$67/100</f>
        <v>41.52961075210097</v>
      </c>
      <c r="J39" s="42">
        <f>'Table 5'!H38*$J$67/100</f>
        <v>16.09148356386178</v>
      </c>
      <c r="M39" s="42">
        <f>SUM(C39:K39)</f>
        <v>3422.326435611332</v>
      </c>
    </row>
    <row r="40" spans="2:13" ht="15">
      <c r="B40" t="s">
        <v>11</v>
      </c>
      <c r="C40" s="42">
        <f>'Table 3'!O39*$C$67/100</f>
        <v>17220.58382446821</v>
      </c>
      <c r="E40" s="42">
        <f>'Table 4'!O39*$E$67/100</f>
        <v>28439.755839643964</v>
      </c>
      <c r="F40" s="42">
        <f>'Table 4'!N39*$F$67/100</f>
        <v>7611.577999792368</v>
      </c>
      <c r="G40" s="42">
        <f>'Table 4'!M39*$G$67/100</f>
        <v>23825.12981699898</v>
      </c>
      <c r="I40" s="42">
        <f>'Table 5'!I39*$I$67/100</f>
        <v>103824.02688025242</v>
      </c>
      <c r="J40" s="42">
        <f>'Table 5'!H39*$J$67/100</f>
        <v>40228.708909654444</v>
      </c>
      <c r="K40" s="42">
        <f>'Table 5'!G39*$K$67/100</f>
        <v>23335.128572946895</v>
      </c>
      <c r="M40" s="42">
        <f>SUM(C40:K40)</f>
        <v>244484.91184375726</v>
      </c>
    </row>
    <row r="41" ht="15">
      <c r="B41"/>
    </row>
    <row r="42" ht="15">
      <c r="B42" s="107" t="s">
        <v>170</v>
      </c>
    </row>
    <row r="43" spans="2:13" ht="15">
      <c r="B43" t="s">
        <v>10</v>
      </c>
      <c r="C43" s="42">
        <f>'Table 3'!O42*$C$67/100</f>
        <v>1194.5191498433526</v>
      </c>
      <c r="E43" s="42">
        <f>'Table 4'!O42*$E$67/100</f>
        <v>1818.1635564038943</v>
      </c>
      <c r="F43" s="42">
        <f>'Table 4'!N42*$F$67/100</f>
        <v>486.6108486999369</v>
      </c>
      <c r="I43" s="42">
        <f>'Table 5'!I42*$I$67/100</f>
        <v>41.52961075210097</v>
      </c>
      <c r="J43" s="42">
        <f>'Table 5'!H42*$J$67/100</f>
        <v>16.09148356386178</v>
      </c>
      <c r="M43" s="42">
        <f>SUM(C43:K43)</f>
        <v>3556.914649263146</v>
      </c>
    </row>
    <row r="44" spans="2:13" ht="15">
      <c r="B44" t="s">
        <v>11</v>
      </c>
      <c r="C44" s="42">
        <f>'Table 3'!O43*$C$67/100</f>
        <v>46449.53198428751</v>
      </c>
      <c r="E44" s="42">
        <f>'Table 4'!O43*$E$67/100</f>
        <v>76711.29863912518</v>
      </c>
      <c r="F44" s="42">
        <f>'Table 4'!N43*$F$67/100</f>
        <v>20530.908786605716</v>
      </c>
      <c r="G44" s="42">
        <f>'Table 4'!M43*$G$67/100</f>
        <v>64264.1469502368</v>
      </c>
      <c r="I44" s="42">
        <f>'Table 5'!I43*$I$67/100</f>
        <v>269942.4698886562</v>
      </c>
      <c r="J44" s="42">
        <f>'Table 5'!H43*$J$67/100</f>
        <v>104594.64316510156</v>
      </c>
      <c r="K44" s="42">
        <f>'Table 5'!G43*$K$67/100</f>
        <v>60671.33428966193</v>
      </c>
      <c r="M44" s="42">
        <f>SUM(C44:K44)</f>
        <v>643164.333703675</v>
      </c>
    </row>
    <row r="45" ht="15">
      <c r="B45"/>
    </row>
    <row r="46" ht="15">
      <c r="B46" t="s">
        <v>171</v>
      </c>
    </row>
    <row r="47" ht="15">
      <c r="B47" s="107" t="s">
        <v>172</v>
      </c>
    </row>
    <row r="48" spans="2:13" ht="15">
      <c r="B48" t="s">
        <v>9</v>
      </c>
      <c r="C48" s="42">
        <f>'Table 3'!O47*$C$67/100</f>
        <v>1311.6616611379902</v>
      </c>
      <c r="E48" s="42">
        <f>'Table 4'!O47*$E$67/100</f>
        <v>2227.7736426309166</v>
      </c>
      <c r="I48" s="42">
        <f>'Table 5'!I47*$I$67/100</f>
        <v>10.382402688025243</v>
      </c>
      <c r="M48" s="42">
        <f>SUM(C48:K48)</f>
        <v>3549.8177064569322</v>
      </c>
    </row>
    <row r="49" spans="2:13" ht="15">
      <c r="B49" t="s">
        <v>10</v>
      </c>
      <c r="C49" s="42">
        <f>'Table 3'!O48*$C$67/100</f>
        <v>12557.765421430116</v>
      </c>
      <c r="E49" s="42">
        <f>'Table 4'!O48*$E$67/100</f>
        <v>21844.60243591492</v>
      </c>
      <c r="F49" s="42">
        <f>'Table 4'!N48*$F$67/100</f>
        <v>5846.460013684223</v>
      </c>
      <c r="I49" s="42">
        <f>'Table 5'!I48*$I$67/100</f>
        <v>207.64805376050484</v>
      </c>
      <c r="J49" s="42">
        <f>'Table 5'!H48*$J$67/100</f>
        <v>80.45741781930889</v>
      </c>
      <c r="M49" s="42">
        <f>SUM(C49:K49)</f>
        <v>40536.93334260907</v>
      </c>
    </row>
    <row r="50" spans="2:13" ht="15">
      <c r="B50" t="s">
        <v>11</v>
      </c>
      <c r="C50" s="42">
        <f>'Table 3'!O49*$C$67/100</f>
        <v>10295.514821259601</v>
      </c>
      <c r="E50" s="42">
        <f>'Table 4'!O49*$E$67/100</f>
        <v>19432.02263023496</v>
      </c>
      <c r="F50" s="42">
        <f>'Table 4'!N49*$F$67/100</f>
        <v>5200.760399552554</v>
      </c>
      <c r="G50" s="42">
        <f>'Table 4'!M49*$G$67/100</f>
        <v>16278.988623624053</v>
      </c>
      <c r="I50" s="42">
        <f>'Table 5'!I49*$I$67/100</f>
        <v>31147.208064075723</v>
      </c>
      <c r="J50" s="42">
        <f>'Table 5'!H49*$J$67/100</f>
        <v>12068.612672896334</v>
      </c>
      <c r="K50" s="42">
        <f>'Table 5'!G49*$K$67/100</f>
        <v>7000.538571884069</v>
      </c>
      <c r="M50" s="42">
        <f>SUM(C50:K50)</f>
        <v>101423.64578352729</v>
      </c>
    </row>
    <row r="51" ht="15">
      <c r="B51"/>
    </row>
    <row r="52" ht="15">
      <c r="B52" t="s">
        <v>171</v>
      </c>
    </row>
    <row r="53" ht="15">
      <c r="B53" s="107" t="s">
        <v>173</v>
      </c>
    </row>
    <row r="54" spans="2:13" ht="15">
      <c r="B54" t="s">
        <v>10</v>
      </c>
      <c r="C54" s="42">
        <f>'Table 3'!O53*$C$67/100</f>
        <v>4134.873980226989</v>
      </c>
      <c r="E54" s="42">
        <f>'Table 4'!O53*$E$67/100</f>
        <v>7192.73494841101</v>
      </c>
      <c r="F54" s="42">
        <f>'Table 4'!N53*$F$67/100</f>
        <v>1925.053906944805</v>
      </c>
      <c r="I54" s="42">
        <f>'Table 5'!I53*$I$67/100</f>
        <v>62.294416128151454</v>
      </c>
      <c r="J54" s="42">
        <f>'Table 5'!H53*$J$67/100</f>
        <v>24.137225345792668</v>
      </c>
      <c r="M54" s="42">
        <f>SUM(C54:K54)</f>
        <v>13339.094477056748</v>
      </c>
    </row>
    <row r="55" spans="2:13" ht="15">
      <c r="B55" t="s">
        <v>11</v>
      </c>
      <c r="C55" s="42">
        <f>'Table 3'!O54*$C$67/100</f>
        <v>13076.593064569443</v>
      </c>
      <c r="E55" s="42">
        <f>'Table 4'!O54*$E$67/100</f>
        <v>24681.10208849162</v>
      </c>
      <c r="F55" s="42">
        <f>'Table 4'!N54*$F$67/100</f>
        <v>6605.616965442421</v>
      </c>
      <c r="G55" s="42">
        <f>'Table 4'!M54*$G$67/100</f>
        <v>20676.354065783682</v>
      </c>
      <c r="I55" s="42">
        <f>'Table 5'!I54*$I$67/100</f>
        <v>41529.61075210097</v>
      </c>
      <c r="J55" s="42">
        <f>'Table 5'!H54*$J$67/100</f>
        <v>16091.483563861779</v>
      </c>
      <c r="K55" s="42">
        <f>'Table 5'!G54*$K$67/100</f>
        <v>9334.051429178759</v>
      </c>
      <c r="M55" s="42">
        <f>SUM(C55:K55)</f>
        <v>131994.8119294287</v>
      </c>
    </row>
    <row r="56" ht="15">
      <c r="B56"/>
    </row>
    <row r="57" ht="15">
      <c r="B57" t="s">
        <v>174</v>
      </c>
    </row>
    <row r="58" spans="2:13" ht="15">
      <c r="B58" t="s">
        <v>9</v>
      </c>
      <c r="C58" s="42">
        <f>'Table 3'!O57*$C$67/100</f>
        <v>136715.50391092134</v>
      </c>
      <c r="E58" s="42">
        <f>'Table 4'!O57*$E$67/100</f>
        <v>207641.53335515741</v>
      </c>
      <c r="I58" s="42">
        <f>'Table 5'!I57*$I$67/100</f>
        <v>4.152961075210096</v>
      </c>
      <c r="M58" s="42">
        <f>SUM(C58:K58)</f>
        <v>344361.19022715394</v>
      </c>
    </row>
    <row r="59" spans="2:13" ht="15">
      <c r="B59" t="s">
        <v>10</v>
      </c>
      <c r="C59" s="42">
        <f>'Table 3'!O58*$C$67/100</f>
        <v>450885.03602164076</v>
      </c>
      <c r="E59" s="42">
        <f>'Table 4'!O58*$E$67/100</f>
        <v>701366.1861777373</v>
      </c>
      <c r="F59" s="42">
        <f>'Table 4'!N58*$F$67/100</f>
        <v>187712.70269019215</v>
      </c>
      <c r="I59" s="42">
        <f>'Table 5'!I58*$I$67/100</f>
        <v>20.764805376050486</v>
      </c>
      <c r="J59" s="42">
        <f>'Table 5'!H58*$J$67/100</f>
        <v>8.04574178193089</v>
      </c>
      <c r="M59" s="42">
        <f>SUM(C59:K59)</f>
        <v>1339992.735436728</v>
      </c>
    </row>
    <row r="60" spans="2:13" ht="15">
      <c r="B60" t="s">
        <v>11</v>
      </c>
      <c r="C60" s="42">
        <f>'Table 3'!O59*$C$67/100</f>
        <v>10921.717869422084</v>
      </c>
      <c r="E60" s="42">
        <f>'Table 4'!O59*$E$67/100</f>
        <v>18433.513276524274</v>
      </c>
      <c r="F60" s="42">
        <f>'Table 4'!N59*$F$67/100</f>
        <v>4933.520699178732</v>
      </c>
      <c r="G60" s="42">
        <f>'Table 4'!M59*$G$67/100</f>
        <v>15442.497090089757</v>
      </c>
      <c r="I60" s="42">
        <f>'Table 5'!I59*$I$67/100</f>
        <v>31.147208064075727</v>
      </c>
      <c r="J60" s="42">
        <f>'Table 5'!H59*$J$67/100</f>
        <v>12.068612672896334</v>
      </c>
      <c r="K60" s="42">
        <f>'Table 5'!G59*$K$67/100</f>
        <v>7.000538571884068</v>
      </c>
      <c r="M60" s="42">
        <f>SUM(C60:K60)</f>
        <v>49781.46529452371</v>
      </c>
    </row>
    <row r="61" ht="15">
      <c r="B61"/>
    </row>
    <row r="62" ht="15">
      <c r="B62" t="s">
        <v>15</v>
      </c>
    </row>
    <row r="63" ht="15">
      <c r="B63" t="s">
        <v>9</v>
      </c>
    </row>
    <row r="64" ht="15">
      <c r="B64" t="s">
        <v>10</v>
      </c>
    </row>
    <row r="65" ht="15">
      <c r="B65" t="s">
        <v>11</v>
      </c>
    </row>
    <row r="67" spans="2:13" ht="15">
      <c r="B67" s="42" t="s">
        <v>35</v>
      </c>
      <c r="C67" s="42">
        <f>'Table 6'!D27</f>
        <v>2554081</v>
      </c>
      <c r="E67" s="42">
        <f>'Table 6'!E27</f>
        <v>2485028.465743239</v>
      </c>
      <c r="F67" s="42">
        <f>'Table 6'!F27</f>
        <v>412252.544867644</v>
      </c>
      <c r="G67" s="42">
        <f>'Table 6'!G27</f>
        <v>237020.34577875526</v>
      </c>
      <c r="I67" s="42">
        <f>'Table 6'!H27</f>
        <v>456285.8333333333</v>
      </c>
      <c r="J67" s="42">
        <f>'Table 6'!I27</f>
        <v>176679.66208613318</v>
      </c>
      <c r="K67" s="42">
        <f>'Table 6'!J27</f>
        <v>101580.14819089512</v>
      </c>
      <c r="M67" s="42">
        <f>SUM(M8:M66)</f>
        <v>6422927.999999999</v>
      </c>
    </row>
    <row r="69" spans="2:11" ht="15">
      <c r="B69" s="120" t="s">
        <v>155</v>
      </c>
      <c r="C69" s="122" t="s">
        <v>156</v>
      </c>
      <c r="D69" s="125"/>
      <c r="E69" s="122" t="s">
        <v>157</v>
      </c>
      <c r="F69" s="122" t="s">
        <v>158</v>
      </c>
      <c r="G69" s="122" t="s">
        <v>159</v>
      </c>
      <c r="H69" s="125"/>
      <c r="I69" s="122" t="s">
        <v>160</v>
      </c>
      <c r="J69" s="122" t="s">
        <v>161</v>
      </c>
      <c r="K69" s="122" t="s">
        <v>162</v>
      </c>
    </row>
    <row r="70" spans="3:11" ht="15">
      <c r="C70" s="122" t="s">
        <v>41</v>
      </c>
      <c r="D70" s="125"/>
      <c r="E70" s="122" t="s">
        <v>57</v>
      </c>
      <c r="F70" s="122" t="s">
        <v>57</v>
      </c>
      <c r="G70" s="122" t="s">
        <v>57</v>
      </c>
      <c r="H70" s="125"/>
      <c r="I70" s="122" t="s">
        <v>59</v>
      </c>
      <c r="J70" s="122" t="s">
        <v>59</v>
      </c>
      <c r="K70" s="122" t="s">
        <v>59</v>
      </c>
    </row>
    <row r="72" spans="2:13" ht="15">
      <c r="B72" s="44" t="s">
        <v>81</v>
      </c>
      <c r="C72" s="42">
        <f aca="true" t="shared" si="0" ref="C72:K72">SUM(C9:C66)</f>
        <v>2554080.9999999986</v>
      </c>
      <c r="E72" s="42">
        <f t="shared" si="0"/>
        <v>2485028.4657432395</v>
      </c>
      <c r="F72" s="42">
        <f t="shared" si="0"/>
        <v>412252.54486764414</v>
      </c>
      <c r="G72" s="42">
        <f t="shared" si="0"/>
        <v>237020.34577875526</v>
      </c>
      <c r="I72" s="42">
        <f t="shared" si="0"/>
        <v>456285.83333333326</v>
      </c>
      <c r="J72" s="42">
        <f t="shared" si="0"/>
        <v>176679.66208613315</v>
      </c>
      <c r="K72" s="42">
        <f t="shared" si="0"/>
        <v>101580.14819089512</v>
      </c>
      <c r="M72" s="42">
        <f>SUM(M9:M66)</f>
        <v>6422927.999999999</v>
      </c>
    </row>
  </sheetData>
  <sheetProtection/>
  <printOptions/>
  <pageMargins left="0.7875" right="0.5" top="0.7875" bottom="0.5" header="0.5" footer="0.5"/>
  <pageSetup fitToHeight="1" fitToWidth="1" horizontalDpi="360" verticalDpi="360" orientation="landscape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8"/>
  <sheetViews>
    <sheetView tabSelected="1" showOutlineSymbols="0" zoomScale="87" zoomScaleNormal="87" zoomScalePageLayoutView="0" workbookViewId="0" topLeftCell="A1">
      <selection activeCell="C1" sqref="C1"/>
    </sheetView>
  </sheetViews>
  <sheetFormatPr defaultColWidth="11.6640625" defaultRowHeight="15"/>
  <cols>
    <col min="1" max="1" width="1.66796875" style="46" customWidth="1"/>
    <col min="2" max="2" width="21.88671875" style="46" customWidth="1"/>
    <col min="3" max="3" width="13.6640625" style="46" customWidth="1"/>
    <col min="4" max="4" width="3.6640625" style="46" customWidth="1"/>
    <col min="5" max="5" width="12.6640625" style="53" customWidth="1"/>
    <col min="6" max="6" width="12.6640625" style="46" customWidth="1"/>
    <col min="7" max="7" width="17.6640625" style="46" customWidth="1"/>
    <col min="8" max="8" width="15.6640625" style="46" customWidth="1"/>
    <col min="9" max="9" width="13.6640625" style="46" customWidth="1"/>
    <col min="10" max="16384" width="11.6640625" style="46" customWidth="1"/>
  </cols>
  <sheetData>
    <row r="1" ht="15.75">
      <c r="A1" s="48" t="s">
        <v>108</v>
      </c>
    </row>
    <row r="2" ht="15.75">
      <c r="A2" s="48" t="s">
        <v>231</v>
      </c>
    </row>
    <row r="3" ht="15.75">
      <c r="A3" s="43" t="s">
        <v>232</v>
      </c>
    </row>
    <row r="5" spans="5:9" ht="15">
      <c r="E5" s="137" t="s">
        <v>223</v>
      </c>
      <c r="F5" s="49"/>
      <c r="G5" s="49"/>
      <c r="H5" s="50" t="s">
        <v>109</v>
      </c>
      <c r="I5" s="50" t="s">
        <v>110</v>
      </c>
    </row>
    <row r="6" spans="3:9" ht="15">
      <c r="C6" s="51" t="s">
        <v>111</v>
      </c>
      <c r="D6" s="51"/>
      <c r="E6" s="138" t="s">
        <v>112</v>
      </c>
      <c r="F6" s="52" t="s">
        <v>113</v>
      </c>
      <c r="G6" s="52" t="s">
        <v>114</v>
      </c>
      <c r="H6" s="51" t="s">
        <v>115</v>
      </c>
      <c r="I6" s="51" t="s">
        <v>116</v>
      </c>
    </row>
    <row r="7" spans="3:9" ht="15">
      <c r="C7" s="50" t="s">
        <v>117</v>
      </c>
      <c r="D7" s="50"/>
      <c r="E7" s="139" t="s">
        <v>118</v>
      </c>
      <c r="F7" s="50" t="s">
        <v>119</v>
      </c>
      <c r="G7" s="50" t="s">
        <v>117</v>
      </c>
      <c r="I7" s="50" t="s">
        <v>120</v>
      </c>
    </row>
    <row r="8" spans="2:6" ht="15">
      <c r="B8" t="s">
        <v>8</v>
      </c>
      <c r="F8" s="53"/>
    </row>
    <row r="9" spans="2:10" ht="15">
      <c r="B9" t="s">
        <v>9</v>
      </c>
      <c r="C9" s="54">
        <f>'Table 7'!M10</f>
        <v>1512340.904397939</v>
      </c>
      <c r="D9" s="54"/>
      <c r="E9" s="53">
        <v>0.4852</v>
      </c>
      <c r="F9" s="55">
        <f>'Table 1'!C11</f>
        <v>6400.2</v>
      </c>
      <c r="G9" s="46">
        <f>F9*E9*1000</f>
        <v>3105377.04</v>
      </c>
      <c r="H9" s="46">
        <f>$C$66/$G$66*G9</f>
        <v>3011092.0481901094</v>
      </c>
      <c r="I9" s="56">
        <f>H9/C9</f>
        <v>1.9910140891076546</v>
      </c>
      <c r="J9" s="47"/>
    </row>
    <row r="10" spans="2:9" ht="15">
      <c r="B10" t="s">
        <v>10</v>
      </c>
      <c r="C10" s="54">
        <f>'Table 7'!M11</f>
        <v>1001798.5025757714</v>
      </c>
      <c r="D10" s="54"/>
      <c r="E10" s="53">
        <f>+E9</f>
        <v>0.4852</v>
      </c>
      <c r="F10" s="55">
        <f>'Table 1'!C12</f>
        <v>3555.7</v>
      </c>
      <c r="G10" s="46">
        <f aca="true" t="shared" si="0" ref="G10:G59">F10*E10*1000</f>
        <v>1725225.64</v>
      </c>
      <c r="H10" s="46">
        <f>$C$66/$G$66*G10</f>
        <v>1672844.5979421847</v>
      </c>
      <c r="I10" s="56">
        <f>H10/C10</f>
        <v>1.6698413839120891</v>
      </c>
    </row>
    <row r="11" spans="2:9" ht="15">
      <c r="B11" t="s">
        <v>11</v>
      </c>
      <c r="C11" s="54">
        <f>'Table 7'!M12</f>
        <v>94022.59844054098</v>
      </c>
      <c r="D11" s="54"/>
      <c r="E11" s="53">
        <f>+E10</f>
        <v>0.4852</v>
      </c>
      <c r="F11" s="55">
        <f>'Table 1'!C13</f>
        <v>203.1</v>
      </c>
      <c r="G11" s="46">
        <f t="shared" si="0"/>
        <v>98544.12000000001</v>
      </c>
      <c r="H11" s="46">
        <f>$C$66/$G$66*G11</f>
        <v>95552.13821246388</v>
      </c>
      <c r="I11" s="56">
        <f>H11/C11</f>
        <v>1.0162677887794194</v>
      </c>
    </row>
    <row r="12" spans="2:6" ht="15">
      <c r="B12"/>
      <c r="F12" s="55"/>
    </row>
    <row r="13" spans="2:6" ht="15">
      <c r="B13" s="11" t="s">
        <v>12</v>
      </c>
      <c r="F13" s="55"/>
    </row>
    <row r="14" spans="2:9" ht="15">
      <c r="B14" t="s">
        <v>9</v>
      </c>
      <c r="C14" s="54">
        <f>'Table 7'!M15</f>
        <v>4653.629733204904</v>
      </c>
      <c r="D14" s="54"/>
      <c r="E14" s="53">
        <v>0.5054</v>
      </c>
      <c r="F14" s="55">
        <f>'Table 1'!C16</f>
        <v>19.4</v>
      </c>
      <c r="G14" s="46">
        <f t="shared" si="0"/>
        <v>9804.759999999998</v>
      </c>
      <c r="H14" s="46">
        <f>$C$66/$G$66*G14</f>
        <v>9507.069347821433</v>
      </c>
      <c r="I14" s="56">
        <f>H14/C14</f>
        <v>2.04293635137878</v>
      </c>
    </row>
    <row r="15" spans="2:9" ht="15">
      <c r="B15" t="s">
        <v>10</v>
      </c>
      <c r="C15" s="54">
        <f>'Table 7'!M16</f>
        <v>84953.91080578807</v>
      </c>
      <c r="D15" s="54"/>
      <c r="E15" s="53">
        <f>E14</f>
        <v>0.5054</v>
      </c>
      <c r="F15" s="55">
        <f>'Table 1'!C17</f>
        <v>295.5</v>
      </c>
      <c r="G15" s="46">
        <f t="shared" si="0"/>
        <v>149345.69999999998</v>
      </c>
      <c r="H15" s="46">
        <f>$C$66/$G$66*G15</f>
        <v>144811.28826191925</v>
      </c>
      <c r="I15" s="56">
        <f>H15/C15</f>
        <v>1.704586485641259</v>
      </c>
    </row>
    <row r="16" spans="2:9" ht="15">
      <c r="B16" t="s">
        <v>11</v>
      </c>
      <c r="C16" s="54">
        <f>'Table 7'!M17</f>
        <v>59985.48385926787</v>
      </c>
      <c r="D16" s="54"/>
      <c r="E16" s="53">
        <f>E15</f>
        <v>0.5054</v>
      </c>
      <c r="F16" s="55">
        <f>'Table 1'!C18</f>
        <v>126.1</v>
      </c>
      <c r="G16" s="46">
        <f t="shared" si="0"/>
        <v>63730.93999999999</v>
      </c>
      <c r="H16" s="46">
        <f>$C$66/$G$66*G16</f>
        <v>61795.95076083931</v>
      </c>
      <c r="I16" s="56">
        <f>H16/C16</f>
        <v>1.030181750401797</v>
      </c>
    </row>
    <row r="17" spans="2:6" ht="15">
      <c r="B17"/>
      <c r="F17" s="55"/>
    </row>
    <row r="18" spans="2:6" ht="15">
      <c r="B18" t="s">
        <v>163</v>
      </c>
      <c r="F18" s="55"/>
    </row>
    <row r="19" spans="2:9" ht="15">
      <c r="B19" t="s">
        <v>9</v>
      </c>
      <c r="C19" s="54">
        <f>'Table 7'!M20</f>
        <v>175443.5344960956</v>
      </c>
      <c r="D19" s="54"/>
      <c r="E19" s="53">
        <v>0.4973</v>
      </c>
      <c r="F19" s="55">
        <f>'Table 1'!C21</f>
        <v>408.1</v>
      </c>
      <c r="G19" s="46">
        <f t="shared" si="0"/>
        <v>202948.13000000003</v>
      </c>
      <c r="H19" s="46">
        <f>$C$66/$G$66*G19</f>
        <v>196786.24932386717</v>
      </c>
      <c r="I19" s="56">
        <f>H19/C19</f>
        <v>1.1216500504796119</v>
      </c>
    </row>
    <row r="20" spans="2:9" ht="15">
      <c r="B20" t="s">
        <v>10</v>
      </c>
      <c r="C20" s="54">
        <f>'Table 7'!M21</f>
        <v>82575.11681438061</v>
      </c>
      <c r="D20" s="54"/>
      <c r="E20" s="53">
        <f>E19</f>
        <v>0.4973</v>
      </c>
      <c r="F20" s="55">
        <f>'Table 1'!C22</f>
        <v>150.9</v>
      </c>
      <c r="G20" s="46">
        <f t="shared" si="0"/>
        <v>75042.57</v>
      </c>
      <c r="H20" s="46">
        <f>$C$66/$G$66*G20</f>
        <v>72764.13874778622</v>
      </c>
      <c r="I20" s="56">
        <f>H20/C20</f>
        <v>0.8811872335748752</v>
      </c>
    </row>
    <row r="21" spans="2:9" ht="15">
      <c r="B21"/>
      <c r="C21" s="54"/>
      <c r="D21" s="54"/>
      <c r="F21" s="55"/>
      <c r="I21" s="56"/>
    </row>
    <row r="22" spans="2:6" ht="15">
      <c r="B22" t="s">
        <v>164</v>
      </c>
      <c r="F22" s="55"/>
    </row>
    <row r="23" spans="2:9" ht="15">
      <c r="B23" t="s">
        <v>9</v>
      </c>
      <c r="C23" s="54">
        <f>'Table 7'!M24</f>
        <v>28631.98557504276</v>
      </c>
      <c r="E23" s="53">
        <v>0.4</v>
      </c>
      <c r="F23" s="55">
        <f>'Table 1'!C25</f>
        <v>50</v>
      </c>
      <c r="G23" s="46">
        <f t="shared" si="0"/>
        <v>20000</v>
      </c>
      <c r="H23" s="46">
        <f>$C$66/$G$66*G23</f>
        <v>19392.763000463925</v>
      </c>
      <c r="I23" s="56">
        <f>H23/C23</f>
        <v>0.6773111473403277</v>
      </c>
    </row>
    <row r="24" spans="2:9" ht="15">
      <c r="B24" t="s">
        <v>10</v>
      </c>
      <c r="C24" s="54">
        <f>'Table 7'!M25</f>
        <v>66237.42786559912</v>
      </c>
      <c r="D24" s="54"/>
      <c r="E24" s="53">
        <f>E23</f>
        <v>0.4</v>
      </c>
      <c r="F24" s="55">
        <f>'Table 1'!C26</f>
        <v>89</v>
      </c>
      <c r="G24" s="46">
        <f t="shared" si="0"/>
        <v>35600</v>
      </c>
      <c r="H24" s="46">
        <f>$C$66/$G$66*G24</f>
        <v>34519.11814082579</v>
      </c>
      <c r="I24" s="56">
        <f>H24/C24</f>
        <v>0.52114218883722</v>
      </c>
    </row>
    <row r="25" spans="2:9" ht="15">
      <c r="B25"/>
      <c r="C25" s="54"/>
      <c r="D25" s="54"/>
      <c r="F25" s="55"/>
      <c r="I25" s="56"/>
    </row>
    <row r="26" spans="2:9" ht="15">
      <c r="B26" t="s">
        <v>13</v>
      </c>
      <c r="C26" s="54"/>
      <c r="D26" s="54"/>
      <c r="F26" s="55"/>
      <c r="I26" s="56"/>
    </row>
    <row r="27" spans="2:9" ht="15">
      <c r="B27" t="s">
        <v>9</v>
      </c>
      <c r="C27" s="54">
        <f>'Table 7'!M28</f>
        <v>1344.4717781316283</v>
      </c>
      <c r="E27" s="53">
        <v>0.5056</v>
      </c>
      <c r="F27" s="55">
        <f>'Table 1'!C29</f>
        <v>5.6</v>
      </c>
      <c r="G27" s="46">
        <f t="shared" si="0"/>
        <v>2831.36</v>
      </c>
      <c r="H27" s="46">
        <f>$C$66/$G$66*G27</f>
        <v>2745.3946724496773</v>
      </c>
      <c r="I27" s="56">
        <f>H27/C27</f>
        <v>2.0419875798842493</v>
      </c>
    </row>
    <row r="28" spans="2:9" ht="15">
      <c r="B28" t="s">
        <v>10</v>
      </c>
      <c r="C28" s="54">
        <f>'Table 7'!M29</f>
        <v>51553.81314452806</v>
      </c>
      <c r="E28" s="53">
        <f>E27</f>
        <v>0.5056</v>
      </c>
      <c r="F28" s="55">
        <f>'Table 1'!C30</f>
        <v>171.1</v>
      </c>
      <c r="G28" s="46">
        <f t="shared" si="0"/>
        <v>86508.16</v>
      </c>
      <c r="H28" s="46">
        <f>$C$66/$G$66*G28</f>
        <v>83881.61222431068</v>
      </c>
      <c r="I28" s="56">
        <f>H28/C28</f>
        <v>1.6270690198832345</v>
      </c>
    </row>
    <row r="29" spans="2:9" ht="15">
      <c r="B29" t="s">
        <v>11</v>
      </c>
      <c r="C29" s="54">
        <f>'Table 7'!M30</f>
        <v>97581.65366569617</v>
      </c>
      <c r="D29" s="54"/>
      <c r="E29" s="53">
        <f>E28</f>
        <v>0.5056</v>
      </c>
      <c r="F29" s="55">
        <f>'Table 1'!C31</f>
        <v>195.3</v>
      </c>
      <c r="G29" s="46">
        <f t="shared" si="0"/>
        <v>98743.68000000001</v>
      </c>
      <c r="H29" s="46">
        <f>$C$66/$G$66*G29</f>
        <v>95745.6392016825</v>
      </c>
      <c r="I29" s="56">
        <f>H29/C29</f>
        <v>0.9811848396184835</v>
      </c>
    </row>
    <row r="30" spans="2:9" ht="15">
      <c r="B30"/>
      <c r="C30" s="54"/>
      <c r="D30" s="54"/>
      <c r="F30" s="55"/>
      <c r="I30" s="56"/>
    </row>
    <row r="31" spans="2:6" ht="15">
      <c r="B31" t="s">
        <v>14</v>
      </c>
      <c r="C31" s="54"/>
      <c r="F31" s="55"/>
    </row>
    <row r="32" spans="2:9" ht="15">
      <c r="B32" t="s">
        <v>9</v>
      </c>
      <c r="C32" s="54">
        <f>'Table 7'!M33</f>
        <v>9950.31515113348</v>
      </c>
      <c r="E32" s="53">
        <v>0.25</v>
      </c>
      <c r="F32" s="55">
        <f>'Table 1'!C34</f>
        <v>41.4</v>
      </c>
      <c r="G32" s="46">
        <f t="shared" si="0"/>
        <v>10350</v>
      </c>
      <c r="H32" s="46">
        <f>$C$66/$G$66*G32</f>
        <v>10035.754852740081</v>
      </c>
      <c r="I32" s="56">
        <f>H32/C32</f>
        <v>1.0085866327155344</v>
      </c>
    </row>
    <row r="33" spans="2:9" ht="15">
      <c r="B33" t="s">
        <v>10</v>
      </c>
      <c r="C33" s="54">
        <f>'Table 7'!M34</f>
        <v>73147.32926797474</v>
      </c>
      <c r="D33" s="54"/>
      <c r="E33" s="53">
        <f>E32</f>
        <v>0.25</v>
      </c>
      <c r="F33" s="55">
        <f>'Table 1'!C35</f>
        <v>254.3</v>
      </c>
      <c r="G33" s="46">
        <f t="shared" si="0"/>
        <v>63575</v>
      </c>
      <c r="H33" s="46">
        <f>$C$66/$G$66*G33</f>
        <v>61644.7453877247</v>
      </c>
      <c r="I33" s="56">
        <f>H33/C33</f>
        <v>0.8427477257835293</v>
      </c>
    </row>
    <row r="34" spans="2:9" ht="15">
      <c r="B34" t="s">
        <v>11</v>
      </c>
      <c r="C34" s="54">
        <f>'Table 7'!M35</f>
        <v>157655.3686037052</v>
      </c>
      <c r="D34" s="54"/>
      <c r="E34" s="53">
        <f>E33</f>
        <v>0.25</v>
      </c>
      <c r="F34" s="55">
        <f>'Table 1'!C36</f>
        <v>332.3</v>
      </c>
      <c r="G34" s="46">
        <f t="shared" si="0"/>
        <v>83075</v>
      </c>
      <c r="H34" s="46">
        <f>$C$66/$G$66*G34</f>
        <v>80552.68931317703</v>
      </c>
      <c r="I34" s="56">
        <f>H34/C34</f>
        <v>0.5109416192204691</v>
      </c>
    </row>
    <row r="35" spans="2:9" ht="15">
      <c r="B35"/>
      <c r="C35" s="54"/>
      <c r="D35" s="54"/>
      <c r="F35" s="55"/>
      <c r="I35" s="56"/>
    </row>
    <row r="36" spans="2:6" ht="15">
      <c r="B36" s="107" t="s">
        <v>169</v>
      </c>
      <c r="F36" s="55"/>
    </row>
    <row r="37" spans="2:9" ht="15">
      <c r="B37" t="s">
        <v>9</v>
      </c>
      <c r="C37" s="54">
        <f>'Table 7'!M38</f>
        <v>1443.772995408923</v>
      </c>
      <c r="E37" s="53">
        <v>0.29</v>
      </c>
      <c r="F37" s="55">
        <f>'Table 1'!C39</f>
        <v>4</v>
      </c>
      <c r="G37" s="46">
        <f t="shared" si="0"/>
        <v>1160</v>
      </c>
      <c r="H37" s="46">
        <f>$C$66/$G$66*G37</f>
        <v>1124.7802540269076</v>
      </c>
      <c r="I37" s="56">
        <f>H37/C37</f>
        <v>0.7790561657570924</v>
      </c>
    </row>
    <row r="38" spans="2:9" ht="15">
      <c r="B38" t="s">
        <v>10</v>
      </c>
      <c r="C38" s="54">
        <f>'Table 7'!M39</f>
        <v>3422.326435611332</v>
      </c>
      <c r="D38" s="54"/>
      <c r="E38" s="53">
        <f>E37</f>
        <v>0.29</v>
      </c>
      <c r="F38" s="55">
        <f>'Table 1'!C40</f>
        <v>7.5</v>
      </c>
      <c r="G38" s="46">
        <f t="shared" si="0"/>
        <v>2175</v>
      </c>
      <c r="H38" s="46">
        <f>$C$66/$G$66*G38</f>
        <v>2108.962976300452</v>
      </c>
      <c r="I38" s="56">
        <f>H38/C38</f>
        <v>0.6162366495362465</v>
      </c>
    </row>
    <row r="39" spans="2:9" ht="15">
      <c r="B39" t="s">
        <v>11</v>
      </c>
      <c r="C39" s="54">
        <f>'Table 7'!M40</f>
        <v>244484.91184375726</v>
      </c>
      <c r="D39" s="54"/>
      <c r="E39" s="53">
        <f>E38</f>
        <v>0.29</v>
      </c>
      <c r="F39" s="55">
        <f>'Table 1'!C41</f>
        <v>93.5</v>
      </c>
      <c r="G39" s="46">
        <f t="shared" si="0"/>
        <v>27115</v>
      </c>
      <c r="H39" s="46">
        <f>$C$66/$G$66*G39</f>
        <v>26291.73843787897</v>
      </c>
      <c r="I39" s="56">
        <f>H39/C39</f>
        <v>0.10753930882524645</v>
      </c>
    </row>
    <row r="40" spans="2:9" ht="15">
      <c r="B40"/>
      <c r="C40" s="54"/>
      <c r="D40" s="54"/>
      <c r="F40" s="55"/>
      <c r="I40" s="56"/>
    </row>
    <row r="41" spans="2:6" ht="15">
      <c r="B41" s="107" t="s">
        <v>170</v>
      </c>
      <c r="F41" s="55"/>
    </row>
    <row r="42" spans="2:9" ht="15">
      <c r="B42" t="s">
        <v>10</v>
      </c>
      <c r="C42" s="54">
        <f>'Table 7'!M43</f>
        <v>3556.914649263146</v>
      </c>
      <c r="E42" s="53">
        <f>0.7*E39</f>
        <v>0.20299999999999999</v>
      </c>
      <c r="F42" s="55">
        <f>'Table 1'!C44</f>
        <v>7.8</v>
      </c>
      <c r="G42" s="46">
        <f t="shared" si="0"/>
        <v>1583.3999999999999</v>
      </c>
      <c r="H42" s="46">
        <f>$C$66/$G$66*G42</f>
        <v>1535.325046746729</v>
      </c>
      <c r="I42" s="56">
        <f>H42/C42</f>
        <v>0.4316451751421104</v>
      </c>
    </row>
    <row r="43" spans="2:9" ht="15">
      <c r="B43" t="s">
        <v>11</v>
      </c>
      <c r="C43" s="54">
        <f>'Table 7'!M44</f>
        <v>643164.333703675</v>
      </c>
      <c r="E43" s="53">
        <f>E42</f>
        <v>0.20299999999999999</v>
      </c>
      <c r="F43" s="55">
        <f>'Table 1'!C45</f>
        <v>252.2</v>
      </c>
      <c r="G43" s="46">
        <f t="shared" si="0"/>
        <v>51196.6</v>
      </c>
      <c r="H43" s="46">
        <f>$C$66/$G$66*G43</f>
        <v>49642.17651147757</v>
      </c>
      <c r="I43" s="56">
        <f>H43/C43</f>
        <v>0.07718428076633553</v>
      </c>
    </row>
    <row r="44" spans="2:9" ht="15">
      <c r="B44"/>
      <c r="C44" s="54"/>
      <c r="D44" s="54"/>
      <c r="F44" s="55"/>
      <c r="I44" s="56"/>
    </row>
    <row r="45" spans="2:9" ht="15">
      <c r="B45" t="s">
        <v>171</v>
      </c>
      <c r="C45" s="54"/>
      <c r="D45" s="54"/>
      <c r="F45" s="55"/>
      <c r="I45" s="56"/>
    </row>
    <row r="46" spans="2:9" ht="15">
      <c r="B46" s="107" t="s">
        <v>172</v>
      </c>
      <c r="C46" s="54"/>
      <c r="D46" s="54"/>
      <c r="F46" s="55"/>
      <c r="I46" s="56"/>
    </row>
    <row r="47" spans="2:9" ht="15">
      <c r="B47" t="s">
        <v>9</v>
      </c>
      <c r="C47" s="54">
        <f>'Table 7'!M48</f>
        <v>3549.8177064569322</v>
      </c>
      <c r="D47" s="54"/>
      <c r="E47" s="53">
        <f>E43</f>
        <v>0.20299999999999999</v>
      </c>
      <c r="F47" s="55">
        <f>'Table 1'!C49</f>
        <v>9.1</v>
      </c>
      <c r="G47" s="46">
        <f t="shared" si="0"/>
        <v>1847.2999999999997</v>
      </c>
      <c r="H47" s="46">
        <f>$C$66/$G$66*G47</f>
        <v>1791.2125545378503</v>
      </c>
      <c r="I47" s="56">
        <f>H47/C47</f>
        <v>0.5045928277611914</v>
      </c>
    </row>
    <row r="48" spans="2:9" ht="15">
      <c r="B48" t="s">
        <v>10</v>
      </c>
      <c r="C48" s="54">
        <f>'Table 7'!M49</f>
        <v>40536.93334260907</v>
      </c>
      <c r="D48" s="54"/>
      <c r="E48" s="53">
        <f>E47</f>
        <v>0.20299999999999999</v>
      </c>
      <c r="F48" s="55">
        <f>'Table 1'!C50</f>
        <v>82</v>
      </c>
      <c r="G48" s="46">
        <f t="shared" si="0"/>
        <v>16645.999999999996</v>
      </c>
      <c r="H48" s="46">
        <f>$C$66/$G$66*G48</f>
        <v>16140.596645286123</v>
      </c>
      <c r="I48" s="56">
        <f>H48/C48</f>
        <v>0.3981701454540091</v>
      </c>
    </row>
    <row r="49" spans="2:9" ht="15">
      <c r="B49" t="s">
        <v>11</v>
      </c>
      <c r="C49" s="54">
        <f>'Table 7'!M50</f>
        <v>101423.64578352729</v>
      </c>
      <c r="D49" s="54"/>
      <c r="E49" s="53">
        <f>E48</f>
        <v>0.20299999999999999</v>
      </c>
      <c r="F49" s="55">
        <f>'Table 1'!C51</f>
        <v>55.9</v>
      </c>
      <c r="G49" s="46">
        <f t="shared" si="0"/>
        <v>11347.699999999999</v>
      </c>
      <c r="H49" s="46">
        <f>$C$66/$G$66*G49</f>
        <v>11003.162835018224</v>
      </c>
      <c r="I49" s="56">
        <f>H49/C49</f>
        <v>0.10848715553474317</v>
      </c>
    </row>
    <row r="50" spans="2:9" ht="15">
      <c r="B50"/>
      <c r="C50" s="54"/>
      <c r="D50" s="54"/>
      <c r="F50" s="55"/>
      <c r="I50" s="56"/>
    </row>
    <row r="51" spans="2:9" ht="15">
      <c r="B51" t="s">
        <v>171</v>
      </c>
      <c r="C51" s="54"/>
      <c r="D51" s="54"/>
      <c r="F51" s="55"/>
      <c r="I51" s="56"/>
    </row>
    <row r="52" spans="2:9" ht="15">
      <c r="B52" s="107" t="s">
        <v>173</v>
      </c>
      <c r="C52" s="54"/>
      <c r="D52" s="54"/>
      <c r="F52" s="55"/>
      <c r="I52" s="56"/>
    </row>
    <row r="53" spans="2:9" ht="15">
      <c r="B53" t="s">
        <v>10</v>
      </c>
      <c r="C53" s="54">
        <f>'Table 7'!M54</f>
        <v>13339.094477056748</v>
      </c>
      <c r="D53" s="54"/>
      <c r="E53" s="53">
        <f>E49</f>
        <v>0.20299999999999999</v>
      </c>
      <c r="F53" s="55">
        <f>'Table 1'!C55</f>
        <v>27</v>
      </c>
      <c r="G53" s="46">
        <f t="shared" si="0"/>
        <v>5481</v>
      </c>
      <c r="H53" s="46">
        <f>$C$66/$G$66*G53</f>
        <v>5314.586700277139</v>
      </c>
      <c r="I53" s="56">
        <f>H53/C53</f>
        <v>0.3984218501052101</v>
      </c>
    </row>
    <row r="54" spans="2:9" ht="15">
      <c r="B54" t="s">
        <v>11</v>
      </c>
      <c r="C54" s="54">
        <f>'Table 7'!M55</f>
        <v>131994.8119294287</v>
      </c>
      <c r="D54" s="54"/>
      <c r="E54" s="53">
        <f>E53</f>
        <v>0.20299999999999999</v>
      </c>
      <c r="F54" s="55">
        <f>'Table 1'!C56</f>
        <v>71</v>
      </c>
      <c r="G54" s="46">
        <f t="shared" si="0"/>
        <v>14412.999999999998</v>
      </c>
      <c r="H54" s="46">
        <f>$C$66/$G$66*G54</f>
        <v>13975.394656284327</v>
      </c>
      <c r="I54" s="56">
        <f>H54/C54</f>
        <v>0.10587836333867653</v>
      </c>
    </row>
    <row r="55" spans="2:9" ht="15">
      <c r="B55"/>
      <c r="C55" s="54"/>
      <c r="D55" s="54"/>
      <c r="F55" s="55"/>
      <c r="I55" s="56"/>
    </row>
    <row r="56" spans="2:9" ht="15">
      <c r="B56" t="s">
        <v>174</v>
      </c>
      <c r="C56" s="54"/>
      <c r="D56" s="54"/>
      <c r="F56" s="55"/>
      <c r="I56" s="56"/>
    </row>
    <row r="57" spans="2:9" ht="15">
      <c r="B57" t="s">
        <v>9</v>
      </c>
      <c r="C57" s="54">
        <f>'Table 7'!M58</f>
        <v>344361.19022715394</v>
      </c>
      <c r="D57" s="54"/>
      <c r="E57" s="53">
        <v>0.1671</v>
      </c>
      <c r="F57" s="55">
        <f>'Table 1'!C59</f>
        <v>948.5</v>
      </c>
      <c r="G57" s="46">
        <f t="shared" si="0"/>
        <v>158494.35</v>
      </c>
      <c r="H57" s="46">
        <f>$C$66/$G$66*G57</f>
        <v>153682.16832312898</v>
      </c>
      <c r="I57" s="56">
        <f>H57/C57</f>
        <v>0.4462819059887506</v>
      </c>
    </row>
    <row r="58" spans="2:9" ht="15">
      <c r="B58" t="s">
        <v>10</v>
      </c>
      <c r="C58" s="54">
        <f>'Table 7'!M59</f>
        <v>1339992.735436728</v>
      </c>
      <c r="D58" s="54"/>
      <c r="E58" s="53">
        <f>E57</f>
        <v>0.1671</v>
      </c>
      <c r="F58" s="55">
        <f>'Table 1'!C60</f>
        <v>2944.2</v>
      </c>
      <c r="G58" s="46">
        <f t="shared" si="0"/>
        <v>491975.81999999995</v>
      </c>
      <c r="H58" s="46">
        <f>$C$66/$G$66*G58</f>
        <v>477038.52396094496</v>
      </c>
      <c r="I58" s="56">
        <f>H58/C58</f>
        <v>0.3560008284712599</v>
      </c>
    </row>
    <row r="59" spans="2:9" ht="15">
      <c r="B59" t="s">
        <v>11</v>
      </c>
      <c r="C59" s="54">
        <f>'Table 7'!M60</f>
        <v>49781.46529452371</v>
      </c>
      <c r="D59" s="54"/>
      <c r="E59" s="53">
        <f>E58</f>
        <v>0.1671</v>
      </c>
      <c r="F59" s="55">
        <f>'Table 1'!C61</f>
        <v>59.3</v>
      </c>
      <c r="G59" s="46">
        <f t="shared" si="0"/>
        <v>9909.029999999999</v>
      </c>
      <c r="H59" s="46">
        <f>$C$66/$G$66*G59</f>
        <v>9608.173517724352</v>
      </c>
      <c r="I59" s="56">
        <f>H59/C59</f>
        <v>0.19300704510964473</v>
      </c>
    </row>
    <row r="60" spans="2:9" ht="15">
      <c r="B60"/>
      <c r="C60" s="54"/>
      <c r="D60" s="54"/>
      <c r="F60" s="55"/>
      <c r="I60" s="56"/>
    </row>
    <row r="61" spans="2:9" ht="15">
      <c r="B61" t="s">
        <v>15</v>
      </c>
      <c r="C61" s="54"/>
      <c r="D61" s="54"/>
      <c r="F61" s="55"/>
      <c r="I61" s="56"/>
    </row>
    <row r="62" spans="2:9" ht="15">
      <c r="B62" t="s">
        <v>9</v>
      </c>
      <c r="C62" s="54"/>
      <c r="D62" s="54"/>
      <c r="F62" s="55"/>
      <c r="I62" s="56"/>
    </row>
    <row r="63" spans="2:9" ht="15">
      <c r="B63" t="s">
        <v>10</v>
      </c>
      <c r="C63" s="54"/>
      <c r="D63" s="54"/>
      <c r="F63" s="55"/>
      <c r="I63" s="56"/>
    </row>
    <row r="64" spans="2:9" ht="15">
      <c r="B64" t="s">
        <v>11</v>
      </c>
      <c r="C64" s="54"/>
      <c r="D64" s="54"/>
      <c r="F64" s="55"/>
      <c r="I64" s="56"/>
    </row>
    <row r="65" ht="15">
      <c r="F65" s="55"/>
    </row>
    <row r="66" spans="2:9" ht="15">
      <c r="B66" s="46" t="s">
        <v>35</v>
      </c>
      <c r="C66" s="46">
        <f>SUM(C8:C65)</f>
        <v>6422927.999999999</v>
      </c>
      <c r="E66" s="53">
        <f>G66/F66/1000</f>
        <v>0.3928853084223014</v>
      </c>
      <c r="F66" s="55">
        <f>SUM(F8:F65)</f>
        <v>16859.999999999996</v>
      </c>
      <c r="G66" s="46">
        <f>SUM(G8:G65)</f>
        <v>6624046.300000001</v>
      </c>
      <c r="H66" s="46">
        <f>SUM(H8:H65)</f>
        <v>6422927.999999999</v>
      </c>
      <c r="I66" s="56">
        <f>H66/C66</f>
        <v>1</v>
      </c>
    </row>
    <row r="67" ht="15">
      <c r="F67" s="55"/>
    </row>
    <row r="68" ht="15">
      <c r="F68" s="55"/>
    </row>
    <row r="69" ht="15">
      <c r="F69" s="55"/>
    </row>
    <row r="70" spans="6:8" ht="15">
      <c r="F70" s="55"/>
      <c r="H70" s="126"/>
    </row>
    <row r="71" ht="15">
      <c r="F71" s="55"/>
    </row>
    <row r="72" ht="15">
      <c r="F72" s="55"/>
    </row>
    <row r="73" ht="15">
      <c r="F73" s="55"/>
    </row>
    <row r="74" ht="15">
      <c r="F74" s="55"/>
    </row>
    <row r="75" ht="15">
      <c r="F75" s="55"/>
    </row>
    <row r="76" ht="15">
      <c r="F76" s="55"/>
    </row>
    <row r="77" ht="15">
      <c r="F77" s="55"/>
    </row>
    <row r="78" ht="15">
      <c r="F78" s="55"/>
    </row>
    <row r="79" ht="15">
      <c r="F79" s="55"/>
    </row>
    <row r="80" ht="15">
      <c r="F80" s="55"/>
    </row>
    <row r="81" ht="15">
      <c r="F81" s="55"/>
    </row>
    <row r="82" ht="15">
      <c r="F82" s="55"/>
    </row>
    <row r="83" ht="15">
      <c r="F83" s="55"/>
    </row>
    <row r="84" ht="15">
      <c r="F84" s="55"/>
    </row>
    <row r="85" ht="15">
      <c r="F85" s="55"/>
    </row>
    <row r="86" ht="15">
      <c r="F86" s="55"/>
    </row>
    <row r="87" ht="15">
      <c r="F87" s="55"/>
    </row>
    <row r="88" ht="15">
      <c r="F88" s="55"/>
    </row>
    <row r="89" ht="15">
      <c r="F89" s="55"/>
    </row>
    <row r="90" ht="15">
      <c r="F90" s="55"/>
    </row>
    <row r="91" ht="15">
      <c r="F91" s="55"/>
    </row>
    <row r="92" ht="15">
      <c r="F92" s="55"/>
    </row>
    <row r="93" ht="15">
      <c r="F93" s="55"/>
    </row>
    <row r="94" ht="15">
      <c r="F94" s="55"/>
    </row>
    <row r="95" ht="15">
      <c r="F95" s="55"/>
    </row>
    <row r="96" ht="15">
      <c r="F96" s="55"/>
    </row>
    <row r="97" ht="15">
      <c r="F97" s="55"/>
    </row>
    <row r="98" ht="15">
      <c r="F98" s="55"/>
    </row>
    <row r="99" ht="15">
      <c r="F99" s="55"/>
    </row>
    <row r="100" ht="15">
      <c r="F100" s="55"/>
    </row>
    <row r="101" ht="15">
      <c r="F101" s="55"/>
    </row>
    <row r="102" ht="15">
      <c r="F102" s="55"/>
    </row>
    <row r="103" ht="15">
      <c r="F103" s="55"/>
    </row>
    <row r="104" ht="15">
      <c r="F104" s="55"/>
    </row>
    <row r="105" ht="15">
      <c r="F105" s="55"/>
    </row>
    <row r="106" ht="15">
      <c r="F106" s="55"/>
    </row>
    <row r="107" ht="15">
      <c r="F107" s="55"/>
    </row>
    <row r="108" ht="15">
      <c r="F108" s="55"/>
    </row>
  </sheetData>
  <sheetProtection/>
  <printOptions/>
  <pageMargins left="0.7875" right="0.5" top="0.7875" bottom="0.5" header="0.5" footer="0.5"/>
  <pageSetup fitToHeight="1" fitToWidth="1" horizontalDpi="360" verticalDpi="360" orientation="portrait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zoomScale="87" zoomScaleNormal="87" zoomScalePageLayoutView="0" workbookViewId="0" topLeftCell="A52">
      <selection activeCell="E80" sqref="E80"/>
    </sheetView>
  </sheetViews>
  <sheetFormatPr defaultColWidth="8.88671875" defaultRowHeight="15"/>
  <cols>
    <col min="1" max="1" width="1.2265625" style="0" customWidth="1"/>
    <col min="2" max="2" width="25.88671875" style="0" customWidth="1"/>
    <col min="3" max="3" width="14.88671875" style="0" customWidth="1"/>
    <col min="4" max="4" width="11.5546875" style="0" customWidth="1"/>
    <col min="5" max="5" width="11.6640625" style="0" customWidth="1"/>
    <col min="6" max="6" width="1.77734375" style="0" customWidth="1"/>
  </cols>
  <sheetData>
    <row r="1" spans="1:5" ht="15.75">
      <c r="A1" s="48" t="s">
        <v>241</v>
      </c>
      <c r="B1" s="46"/>
      <c r="C1" s="46"/>
      <c r="D1" s="46"/>
      <c r="E1" s="46"/>
    </row>
    <row r="2" spans="1:5" ht="15" customHeight="1">
      <c r="A2" s="48" t="s">
        <v>231</v>
      </c>
      <c r="B2" s="46"/>
      <c r="C2" s="46"/>
      <c r="D2" s="46"/>
      <c r="E2" s="46"/>
    </row>
    <row r="3" spans="1:5" ht="15.75">
      <c r="A3" s="43" t="s">
        <v>232</v>
      </c>
      <c r="B3" s="46"/>
      <c r="C3" s="46"/>
      <c r="D3" s="46"/>
      <c r="E3" s="46"/>
    </row>
    <row r="4" spans="1:6" ht="6" customHeight="1">
      <c r="A4" s="150"/>
      <c r="B4" s="141"/>
      <c r="C4" s="141"/>
      <c r="D4" s="141"/>
      <c r="E4" s="141"/>
      <c r="F4" s="145"/>
    </row>
    <row r="5" spans="1:6" ht="15">
      <c r="A5" s="141"/>
      <c r="B5" s="141"/>
      <c r="C5" s="141"/>
      <c r="D5" s="142" t="s">
        <v>165</v>
      </c>
      <c r="E5" s="141"/>
      <c r="F5" s="145"/>
    </row>
    <row r="6" spans="1:6" ht="15">
      <c r="A6" s="141"/>
      <c r="B6" s="141"/>
      <c r="C6" s="141"/>
      <c r="D6" s="143" t="s">
        <v>228</v>
      </c>
      <c r="E6" s="143" t="s">
        <v>110</v>
      </c>
      <c r="F6" s="145"/>
    </row>
    <row r="7" spans="1:6" ht="15">
      <c r="A7" s="141"/>
      <c r="B7" s="141"/>
      <c r="C7" s="144" t="s">
        <v>111</v>
      </c>
      <c r="D7" s="144" t="s">
        <v>229</v>
      </c>
      <c r="E7" s="144" t="s">
        <v>116</v>
      </c>
      <c r="F7" s="145"/>
    </row>
    <row r="8" spans="1:6" ht="15">
      <c r="A8" s="141"/>
      <c r="B8" s="141"/>
      <c r="C8" s="143" t="s">
        <v>117</v>
      </c>
      <c r="D8" s="141"/>
      <c r="E8" s="143" t="s">
        <v>120</v>
      </c>
      <c r="F8" s="145"/>
    </row>
    <row r="9" spans="1:6" ht="15">
      <c r="A9" s="141"/>
      <c r="B9" s="145" t="s">
        <v>8</v>
      </c>
      <c r="C9" s="141"/>
      <c r="D9" s="141"/>
      <c r="E9" s="141"/>
      <c r="F9" s="145"/>
    </row>
    <row r="10" spans="1:6" ht="15">
      <c r="A10" s="141"/>
      <c r="B10" s="145" t="s">
        <v>9</v>
      </c>
      <c r="C10" s="146">
        <f>'Table 8'!C9</f>
        <v>1512340.904397939</v>
      </c>
      <c r="D10" s="141">
        <f>'Table 8'!H9</f>
        <v>3011092.0481901094</v>
      </c>
      <c r="E10" s="147">
        <f>D10/C10</f>
        <v>1.9910140891076546</v>
      </c>
      <c r="F10" s="145"/>
    </row>
    <row r="11" spans="1:6" ht="15">
      <c r="A11" s="141"/>
      <c r="B11" s="145" t="s">
        <v>10</v>
      </c>
      <c r="C11" s="146">
        <f>'Table 8'!C10</f>
        <v>1001798.5025757714</v>
      </c>
      <c r="D11" s="141">
        <f>'Table 8'!H10</f>
        <v>1672844.5979421847</v>
      </c>
      <c r="E11" s="147">
        <f aca="true" t="shared" si="0" ref="E11:E60">D11/C11</f>
        <v>1.6698413839120891</v>
      </c>
      <c r="F11" s="145"/>
    </row>
    <row r="12" spans="1:6" ht="15">
      <c r="A12" s="141"/>
      <c r="B12" s="145" t="s">
        <v>11</v>
      </c>
      <c r="C12" s="146">
        <f>'Table 8'!C11</f>
        <v>94022.59844054098</v>
      </c>
      <c r="D12" s="141">
        <f>'Table 8'!H11</f>
        <v>95552.13821246388</v>
      </c>
      <c r="E12" s="147">
        <f t="shared" si="0"/>
        <v>1.0162677887794194</v>
      </c>
      <c r="F12" s="145"/>
    </row>
    <row r="13" spans="1:6" ht="15">
      <c r="A13" s="141"/>
      <c r="B13" s="145"/>
      <c r="C13" s="146"/>
      <c r="D13" s="141"/>
      <c r="E13" s="147"/>
      <c r="F13" s="145"/>
    </row>
    <row r="14" spans="1:6" ht="15">
      <c r="A14" s="141"/>
      <c r="B14" s="148" t="s">
        <v>12</v>
      </c>
      <c r="C14" s="146"/>
      <c r="D14" s="141"/>
      <c r="E14" s="147"/>
      <c r="F14" s="145"/>
    </row>
    <row r="15" spans="1:6" ht="15">
      <c r="A15" s="141"/>
      <c r="B15" s="145" t="s">
        <v>9</v>
      </c>
      <c r="C15" s="146">
        <f>'Table 8'!C14</f>
        <v>4653.629733204904</v>
      </c>
      <c r="D15" s="141">
        <f>'Table 8'!H14</f>
        <v>9507.069347821433</v>
      </c>
      <c r="E15" s="147">
        <f t="shared" si="0"/>
        <v>2.04293635137878</v>
      </c>
      <c r="F15" s="145"/>
    </row>
    <row r="16" spans="1:6" ht="15">
      <c r="A16" s="141"/>
      <c r="B16" s="145" t="s">
        <v>10</v>
      </c>
      <c r="C16" s="146">
        <f>'Table 8'!C15</f>
        <v>84953.91080578807</v>
      </c>
      <c r="D16" s="141">
        <f>'Table 8'!H15</f>
        <v>144811.28826191925</v>
      </c>
      <c r="E16" s="147">
        <f t="shared" si="0"/>
        <v>1.704586485641259</v>
      </c>
      <c r="F16" s="145"/>
    </row>
    <row r="17" spans="1:6" ht="15">
      <c r="A17" s="141"/>
      <c r="B17" s="145" t="s">
        <v>11</v>
      </c>
      <c r="C17" s="146">
        <f>'Table 8'!C16</f>
        <v>59985.48385926787</v>
      </c>
      <c r="D17" s="141">
        <f>'Table 8'!H16</f>
        <v>61795.95076083931</v>
      </c>
      <c r="E17" s="147">
        <f t="shared" si="0"/>
        <v>1.030181750401797</v>
      </c>
      <c r="F17" s="145"/>
    </row>
    <row r="18" spans="1:6" ht="15">
      <c r="A18" s="141"/>
      <c r="B18" s="145"/>
      <c r="C18" s="146"/>
      <c r="D18" s="141"/>
      <c r="E18" s="147"/>
      <c r="F18" s="145"/>
    </row>
    <row r="19" spans="1:6" ht="15">
      <c r="A19" s="141"/>
      <c r="B19" s="145" t="s">
        <v>163</v>
      </c>
      <c r="C19" s="146"/>
      <c r="D19" s="141"/>
      <c r="E19" s="147"/>
      <c r="F19" s="145"/>
    </row>
    <row r="20" spans="1:6" ht="15">
      <c r="A20" s="141"/>
      <c r="B20" s="145" t="s">
        <v>9</v>
      </c>
      <c r="C20" s="146">
        <f>'Table 8'!C19</f>
        <v>175443.5344960956</v>
      </c>
      <c r="D20" s="141">
        <f>'Table 8'!H19</f>
        <v>196786.24932386717</v>
      </c>
      <c r="E20" s="147">
        <f t="shared" si="0"/>
        <v>1.1216500504796119</v>
      </c>
      <c r="F20" s="145"/>
    </row>
    <row r="21" spans="1:6" ht="15">
      <c r="A21" s="141"/>
      <c r="B21" s="145" t="s">
        <v>10</v>
      </c>
      <c r="C21" s="146">
        <f>'Table 8'!C20</f>
        <v>82575.11681438061</v>
      </c>
      <c r="D21" s="141">
        <f>'Table 8'!H20</f>
        <v>72764.13874778622</v>
      </c>
      <c r="E21" s="147">
        <f t="shared" si="0"/>
        <v>0.8811872335748752</v>
      </c>
      <c r="F21" s="145"/>
    </row>
    <row r="22" spans="1:6" ht="15">
      <c r="A22" s="141"/>
      <c r="B22" s="145"/>
      <c r="C22" s="146"/>
      <c r="D22" s="141"/>
      <c r="E22" s="147"/>
      <c r="F22" s="145"/>
    </row>
    <row r="23" spans="1:6" ht="15">
      <c r="A23" s="141"/>
      <c r="B23" s="145" t="s">
        <v>164</v>
      </c>
      <c r="C23" s="146"/>
      <c r="D23" s="141"/>
      <c r="E23" s="147"/>
      <c r="F23" s="145"/>
    </row>
    <row r="24" spans="1:6" ht="15">
      <c r="A24" s="141"/>
      <c r="B24" s="145" t="s">
        <v>9</v>
      </c>
      <c r="C24" s="146">
        <f>'Table 8'!C23</f>
        <v>28631.98557504276</v>
      </c>
      <c r="D24" s="141">
        <f>'Table 8'!H23</f>
        <v>19392.763000463925</v>
      </c>
      <c r="E24" s="147">
        <f t="shared" si="0"/>
        <v>0.6773111473403277</v>
      </c>
      <c r="F24" s="145"/>
    </row>
    <row r="25" spans="1:6" ht="15">
      <c r="A25" s="141"/>
      <c r="B25" s="145" t="s">
        <v>10</v>
      </c>
      <c r="C25" s="146">
        <f>'Table 8'!C24</f>
        <v>66237.42786559912</v>
      </c>
      <c r="D25" s="141">
        <f>'Table 8'!H24</f>
        <v>34519.11814082579</v>
      </c>
      <c r="E25" s="147">
        <f t="shared" si="0"/>
        <v>0.52114218883722</v>
      </c>
      <c r="F25" s="145"/>
    </row>
    <row r="26" spans="1:6" ht="15">
      <c r="A26" s="141"/>
      <c r="B26" s="145"/>
      <c r="C26" s="146"/>
      <c r="D26" s="141"/>
      <c r="E26" s="147"/>
      <c r="F26" s="145"/>
    </row>
    <row r="27" spans="1:6" ht="15">
      <c r="A27" s="141"/>
      <c r="B27" s="145" t="s">
        <v>13</v>
      </c>
      <c r="C27" s="146"/>
      <c r="D27" s="141"/>
      <c r="E27" s="147"/>
      <c r="F27" s="145"/>
    </row>
    <row r="28" spans="1:6" ht="15">
      <c r="A28" s="141"/>
      <c r="B28" s="145" t="s">
        <v>9</v>
      </c>
      <c r="C28" s="146">
        <f>'Table 8'!C27</f>
        <v>1344.4717781316283</v>
      </c>
      <c r="D28" s="141">
        <f>'Table 8'!H27</f>
        <v>2745.3946724496773</v>
      </c>
      <c r="E28" s="147">
        <f t="shared" si="0"/>
        <v>2.0419875798842493</v>
      </c>
      <c r="F28" s="145"/>
    </row>
    <row r="29" spans="1:6" ht="15">
      <c r="A29" s="141"/>
      <c r="B29" s="145" t="s">
        <v>10</v>
      </c>
      <c r="C29" s="146">
        <f>'Table 8'!C28</f>
        <v>51553.81314452806</v>
      </c>
      <c r="D29" s="141">
        <f>'Table 8'!H28</f>
        <v>83881.61222431068</v>
      </c>
      <c r="E29" s="147">
        <f t="shared" si="0"/>
        <v>1.6270690198832345</v>
      </c>
      <c r="F29" s="145"/>
    </row>
    <row r="30" spans="1:6" ht="15">
      <c r="A30" s="141"/>
      <c r="B30" s="145" t="s">
        <v>11</v>
      </c>
      <c r="C30" s="146">
        <f>'Table 8'!C29</f>
        <v>97581.65366569617</v>
      </c>
      <c r="D30" s="141">
        <f>'Table 8'!H29</f>
        <v>95745.6392016825</v>
      </c>
      <c r="E30" s="147">
        <f t="shared" si="0"/>
        <v>0.9811848396184835</v>
      </c>
      <c r="F30" s="145"/>
    </row>
    <row r="31" spans="1:6" ht="15">
      <c r="A31" s="141"/>
      <c r="B31" s="145"/>
      <c r="C31" s="146"/>
      <c r="D31" s="141"/>
      <c r="E31" s="147"/>
      <c r="F31" s="145"/>
    </row>
    <row r="32" spans="1:6" ht="15">
      <c r="A32" s="141"/>
      <c r="B32" s="145" t="s">
        <v>14</v>
      </c>
      <c r="C32" s="146"/>
      <c r="D32" s="141"/>
      <c r="E32" s="147"/>
      <c r="F32" s="145"/>
    </row>
    <row r="33" spans="1:6" ht="15">
      <c r="A33" s="141"/>
      <c r="B33" s="145" t="s">
        <v>9</v>
      </c>
      <c r="C33" s="146">
        <f>'Table 8'!C32</f>
        <v>9950.31515113348</v>
      </c>
      <c r="D33" s="141">
        <f>'Table 8'!H32</f>
        <v>10035.754852740081</v>
      </c>
      <c r="E33" s="147">
        <f t="shared" si="0"/>
        <v>1.0085866327155344</v>
      </c>
      <c r="F33" s="145"/>
    </row>
    <row r="34" spans="1:6" ht="15">
      <c r="A34" s="141"/>
      <c r="B34" s="145" t="s">
        <v>10</v>
      </c>
      <c r="C34" s="146">
        <f>'Table 8'!C33</f>
        <v>73147.32926797474</v>
      </c>
      <c r="D34" s="141">
        <f>'Table 8'!H33</f>
        <v>61644.7453877247</v>
      </c>
      <c r="E34" s="147">
        <f t="shared" si="0"/>
        <v>0.8427477257835293</v>
      </c>
      <c r="F34" s="145"/>
    </row>
    <row r="35" spans="1:6" ht="15">
      <c r="A35" s="141"/>
      <c r="B35" s="145" t="s">
        <v>11</v>
      </c>
      <c r="C35" s="146">
        <f>'Table 8'!C34</f>
        <v>157655.3686037052</v>
      </c>
      <c r="D35" s="141">
        <f>'Table 8'!H34</f>
        <v>80552.68931317703</v>
      </c>
      <c r="E35" s="147">
        <f t="shared" si="0"/>
        <v>0.5109416192204691</v>
      </c>
      <c r="F35" s="145"/>
    </row>
    <row r="36" spans="1:6" ht="15">
      <c r="A36" s="141"/>
      <c r="B36" s="145"/>
      <c r="C36" s="146"/>
      <c r="D36" s="141"/>
      <c r="E36" s="147"/>
      <c r="F36" s="145"/>
    </row>
    <row r="37" spans="1:6" ht="15">
      <c r="A37" s="141"/>
      <c r="B37" s="149" t="s">
        <v>169</v>
      </c>
      <c r="C37" s="146"/>
      <c r="D37" s="141"/>
      <c r="E37" s="147"/>
      <c r="F37" s="145"/>
    </row>
    <row r="38" spans="1:6" ht="15">
      <c r="A38" s="141"/>
      <c r="B38" s="145" t="s">
        <v>9</v>
      </c>
      <c r="C38" s="146">
        <f>'Table 8'!C37</f>
        <v>1443.772995408923</v>
      </c>
      <c r="D38" s="141">
        <f>'Table 8'!H37</f>
        <v>1124.7802540269076</v>
      </c>
      <c r="E38" s="147">
        <f t="shared" si="0"/>
        <v>0.7790561657570924</v>
      </c>
      <c r="F38" s="145"/>
    </row>
    <row r="39" spans="1:6" ht="15">
      <c r="A39" s="141"/>
      <c r="B39" s="145" t="s">
        <v>10</v>
      </c>
      <c r="C39" s="146">
        <f>'Table 8'!C38</f>
        <v>3422.326435611332</v>
      </c>
      <c r="D39" s="141">
        <f>'Table 8'!H38</f>
        <v>2108.962976300452</v>
      </c>
      <c r="E39" s="147">
        <f t="shared" si="0"/>
        <v>0.6162366495362465</v>
      </c>
      <c r="F39" s="145"/>
    </row>
    <row r="40" spans="1:6" ht="15">
      <c r="A40" s="141"/>
      <c r="B40" s="145" t="s">
        <v>11</v>
      </c>
      <c r="C40" s="146">
        <f>'Table 8'!C39</f>
        <v>244484.91184375726</v>
      </c>
      <c r="D40" s="141">
        <f>'Table 8'!H39</f>
        <v>26291.73843787897</v>
      </c>
      <c r="E40" s="147">
        <f t="shared" si="0"/>
        <v>0.10753930882524645</v>
      </c>
      <c r="F40" s="145"/>
    </row>
    <row r="41" spans="1:6" ht="15">
      <c r="A41" s="141"/>
      <c r="B41" s="145"/>
      <c r="C41" s="146"/>
      <c r="D41" s="141"/>
      <c r="E41" s="147"/>
      <c r="F41" s="145"/>
    </row>
    <row r="42" spans="1:6" ht="15">
      <c r="A42" s="141"/>
      <c r="B42" s="149" t="s">
        <v>170</v>
      </c>
      <c r="C42" s="146"/>
      <c r="D42" s="141"/>
      <c r="E42" s="147"/>
      <c r="F42" s="145"/>
    </row>
    <row r="43" spans="1:6" ht="15">
      <c r="A43" s="141"/>
      <c r="B43" s="145" t="s">
        <v>10</v>
      </c>
      <c r="C43" s="146">
        <f>'Table 8'!C42</f>
        <v>3556.914649263146</v>
      </c>
      <c r="D43" s="141">
        <f>'Table 8'!H42</f>
        <v>1535.325046746729</v>
      </c>
      <c r="E43" s="147">
        <f t="shared" si="0"/>
        <v>0.4316451751421104</v>
      </c>
      <c r="F43" s="145"/>
    </row>
    <row r="44" spans="1:6" ht="15">
      <c r="A44" s="141"/>
      <c r="B44" s="145" t="s">
        <v>11</v>
      </c>
      <c r="C44" s="146">
        <f>'Table 8'!C43</f>
        <v>643164.333703675</v>
      </c>
      <c r="D44" s="141">
        <f>'Table 8'!H43</f>
        <v>49642.17651147757</v>
      </c>
      <c r="E44" s="147">
        <f t="shared" si="0"/>
        <v>0.07718428076633553</v>
      </c>
      <c r="F44" s="145"/>
    </row>
    <row r="45" spans="1:6" ht="15">
      <c r="A45" s="141"/>
      <c r="B45" s="145"/>
      <c r="C45" s="146"/>
      <c r="D45" s="141"/>
      <c r="E45" s="147"/>
      <c r="F45" s="145"/>
    </row>
    <row r="46" spans="1:6" ht="15">
      <c r="A46" s="141"/>
      <c r="B46" s="145" t="s">
        <v>171</v>
      </c>
      <c r="C46" s="146"/>
      <c r="D46" s="141"/>
      <c r="E46" s="147"/>
      <c r="F46" s="145"/>
    </row>
    <row r="47" spans="1:6" ht="15">
      <c r="A47" s="141"/>
      <c r="B47" s="149" t="s">
        <v>172</v>
      </c>
      <c r="C47" s="146"/>
      <c r="D47" s="141"/>
      <c r="E47" s="147"/>
      <c r="F47" s="145"/>
    </row>
    <row r="48" spans="1:6" ht="15">
      <c r="A48" s="141"/>
      <c r="B48" s="145" t="s">
        <v>9</v>
      </c>
      <c r="C48" s="146">
        <f>'Table 8'!C47</f>
        <v>3549.8177064569322</v>
      </c>
      <c r="D48" s="141">
        <f>'Table 8'!H47</f>
        <v>1791.2125545378503</v>
      </c>
      <c r="E48" s="147">
        <f t="shared" si="0"/>
        <v>0.5045928277611914</v>
      </c>
      <c r="F48" s="145"/>
    </row>
    <row r="49" spans="1:6" ht="15">
      <c r="A49" s="141"/>
      <c r="B49" s="145" t="s">
        <v>10</v>
      </c>
      <c r="C49" s="146">
        <f>'Table 8'!C48</f>
        <v>40536.93334260907</v>
      </c>
      <c r="D49" s="141">
        <f>'Table 8'!H48</f>
        <v>16140.596645286123</v>
      </c>
      <c r="E49" s="147">
        <f t="shared" si="0"/>
        <v>0.3981701454540091</v>
      </c>
      <c r="F49" s="145"/>
    </row>
    <row r="50" spans="1:6" ht="15">
      <c r="A50" s="141"/>
      <c r="B50" s="145" t="s">
        <v>11</v>
      </c>
      <c r="C50" s="146">
        <f>'Table 8'!C49</f>
        <v>101423.64578352729</v>
      </c>
      <c r="D50" s="141">
        <f>'Table 8'!H49</f>
        <v>11003.162835018224</v>
      </c>
      <c r="E50" s="147">
        <f t="shared" si="0"/>
        <v>0.10848715553474317</v>
      </c>
      <c r="F50" s="145"/>
    </row>
    <row r="51" spans="1:6" ht="15">
      <c r="A51" s="141"/>
      <c r="B51" s="145"/>
      <c r="C51" s="146"/>
      <c r="D51" s="141"/>
      <c r="E51" s="147"/>
      <c r="F51" s="145"/>
    </row>
    <row r="52" spans="1:6" ht="15">
      <c r="A52" s="141"/>
      <c r="B52" s="145" t="s">
        <v>171</v>
      </c>
      <c r="C52" s="146"/>
      <c r="D52" s="141"/>
      <c r="E52" s="147"/>
      <c r="F52" s="145"/>
    </row>
    <row r="53" spans="1:6" ht="15">
      <c r="A53" s="141"/>
      <c r="B53" s="149" t="s">
        <v>173</v>
      </c>
      <c r="C53" s="146"/>
      <c r="D53" s="141"/>
      <c r="E53" s="147"/>
      <c r="F53" s="145"/>
    </row>
    <row r="54" spans="1:6" ht="15">
      <c r="A54" s="141"/>
      <c r="B54" s="145" t="s">
        <v>10</v>
      </c>
      <c r="C54" s="146">
        <f>'Table 8'!C53</f>
        <v>13339.094477056748</v>
      </c>
      <c r="D54" s="141">
        <f>'Table 8'!H53</f>
        <v>5314.586700277139</v>
      </c>
      <c r="E54" s="147">
        <f t="shared" si="0"/>
        <v>0.3984218501052101</v>
      </c>
      <c r="F54" s="145"/>
    </row>
    <row r="55" spans="1:6" ht="15">
      <c r="A55" s="141"/>
      <c r="B55" s="145" t="s">
        <v>11</v>
      </c>
      <c r="C55" s="146">
        <f>'Table 8'!C54</f>
        <v>131994.8119294287</v>
      </c>
      <c r="D55" s="141">
        <f>'Table 8'!H54</f>
        <v>13975.394656284327</v>
      </c>
      <c r="E55" s="147">
        <f t="shared" si="0"/>
        <v>0.10587836333867653</v>
      </c>
      <c r="F55" s="145"/>
    </row>
    <row r="56" spans="1:6" ht="15">
      <c r="A56" s="141"/>
      <c r="B56" s="145"/>
      <c r="C56" s="146"/>
      <c r="D56" s="141"/>
      <c r="E56" s="147"/>
      <c r="F56" s="145"/>
    </row>
    <row r="57" spans="1:6" ht="15">
      <c r="A57" s="141"/>
      <c r="B57" s="145" t="s">
        <v>174</v>
      </c>
      <c r="C57" s="146"/>
      <c r="D57" s="141"/>
      <c r="E57" s="147"/>
      <c r="F57" s="145"/>
    </row>
    <row r="58" spans="1:6" ht="15">
      <c r="A58" s="141"/>
      <c r="B58" s="145" t="s">
        <v>9</v>
      </c>
      <c r="C58" s="146">
        <f>'Table 8'!C57</f>
        <v>344361.19022715394</v>
      </c>
      <c r="D58" s="141">
        <f>'Table 8'!H57</f>
        <v>153682.16832312898</v>
      </c>
      <c r="E58" s="147">
        <f t="shared" si="0"/>
        <v>0.4462819059887506</v>
      </c>
      <c r="F58" s="145"/>
    </row>
    <row r="59" spans="1:6" ht="15">
      <c r="A59" s="141"/>
      <c r="B59" s="145" t="s">
        <v>10</v>
      </c>
      <c r="C59" s="146">
        <f>'Table 8'!C58</f>
        <v>1339992.735436728</v>
      </c>
      <c r="D59" s="141">
        <f>'Table 8'!H58</f>
        <v>477038.52396094496</v>
      </c>
      <c r="E59" s="147">
        <f t="shared" si="0"/>
        <v>0.3560008284712599</v>
      </c>
      <c r="F59" s="145"/>
    </row>
    <row r="60" spans="1:6" ht="15">
      <c r="A60" s="141"/>
      <c r="B60" s="145" t="s">
        <v>11</v>
      </c>
      <c r="C60" s="146">
        <f>'Table 8'!C59</f>
        <v>49781.46529452371</v>
      </c>
      <c r="D60" s="141">
        <f>'Table 8'!H59</f>
        <v>9608.173517724352</v>
      </c>
      <c r="E60" s="147">
        <f t="shared" si="0"/>
        <v>0.19300704510964473</v>
      </c>
      <c r="F60" s="145"/>
    </row>
    <row r="61" spans="1:6" ht="15">
      <c r="A61" s="141"/>
      <c r="B61" s="145"/>
      <c r="C61" s="146"/>
      <c r="D61" s="141"/>
      <c r="E61" s="147"/>
      <c r="F61" s="145"/>
    </row>
    <row r="62" spans="1:6" ht="15">
      <c r="A62" s="141"/>
      <c r="B62" s="145" t="s">
        <v>15</v>
      </c>
      <c r="C62" s="146"/>
      <c r="D62" s="141"/>
      <c r="E62" s="147"/>
      <c r="F62" s="145"/>
    </row>
    <row r="63" spans="1:6" ht="15">
      <c r="A63" s="141"/>
      <c r="B63" s="145" t="s">
        <v>9</v>
      </c>
      <c r="C63" s="146"/>
      <c r="D63" s="141"/>
      <c r="E63" s="147"/>
      <c r="F63" s="145"/>
    </row>
    <row r="64" spans="1:6" ht="15">
      <c r="A64" s="141"/>
      <c r="B64" s="145" t="s">
        <v>10</v>
      </c>
      <c r="C64" s="146"/>
      <c r="D64" s="141"/>
      <c r="E64" s="147"/>
      <c r="F64" s="145"/>
    </row>
    <row r="65" spans="1:6" ht="15">
      <c r="A65" s="141"/>
      <c r="B65" s="145" t="s">
        <v>11</v>
      </c>
      <c r="C65" s="146"/>
      <c r="D65" s="141"/>
      <c r="E65" s="147"/>
      <c r="F65" s="145"/>
    </row>
    <row r="66" spans="1:6" ht="15">
      <c r="A66" s="141"/>
      <c r="B66" s="141"/>
      <c r="C66" s="146"/>
      <c r="D66" s="141"/>
      <c r="E66" s="141"/>
      <c r="F66" s="145"/>
    </row>
    <row r="67" spans="1:6" ht="15">
      <c r="A67" s="141"/>
      <c r="B67" s="141" t="s">
        <v>35</v>
      </c>
      <c r="C67" s="146">
        <f>'Table 8'!C66</f>
        <v>6422927.999999999</v>
      </c>
      <c r="D67" s="141">
        <f>SUM(D9:D66)</f>
        <v>6422927.999999999</v>
      </c>
      <c r="E67" s="147">
        <f>D67/C67</f>
        <v>1</v>
      </c>
      <c r="F67" s="145"/>
    </row>
    <row r="68" spans="1:6" ht="15">
      <c r="A68" s="145"/>
      <c r="B68" s="145"/>
      <c r="C68" s="145"/>
      <c r="D68" s="145"/>
      <c r="E68" s="145"/>
      <c r="F68" s="145"/>
    </row>
  </sheetData>
  <sheetProtection/>
  <printOptions/>
  <pageMargins left="1.46" right="0.75" top="0.78" bottom="1" header="0.5" footer="0.5"/>
  <pageSetup fitToHeight="1" fitToWidth="1" horizontalDpi="360" verticalDpi="36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Arvid Kruze</dc:creator>
  <cp:keywords/>
  <dc:description/>
  <cp:lastModifiedBy>Arvid</cp:lastModifiedBy>
  <cp:lastPrinted>2001-06-19T19:00:01Z</cp:lastPrinted>
  <dcterms:created xsi:type="dcterms:W3CDTF">2000-05-02T19:04:10Z</dcterms:created>
  <dcterms:modified xsi:type="dcterms:W3CDTF">2012-01-25T18:42:42Z</dcterms:modified>
  <cp:category/>
  <cp:version/>
  <cp:contentType/>
  <cp:contentStatus/>
</cp:coreProperties>
</file>